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H37" i="3" l="1"/>
  <c r="J76" i="5"/>
  <c r="F37" i="3" l="1"/>
  <c r="H11" i="3"/>
  <c r="F26" i="3"/>
  <c r="H26" i="3" s="1"/>
  <c r="F25" i="3"/>
  <c r="H25" i="3" s="1"/>
  <c r="F24" i="3"/>
  <c r="H24" i="3" s="1"/>
  <c r="F23" i="3"/>
  <c r="H23" i="3" s="1"/>
  <c r="H22" i="3"/>
  <c r="F21" i="3"/>
  <c r="H21" i="3" s="1"/>
  <c r="F20" i="3"/>
  <c r="H20" i="3" s="1"/>
  <c r="F19" i="3"/>
  <c r="H19" i="3" s="1"/>
  <c r="F18" i="3"/>
  <c r="H18" i="3" s="1"/>
  <c r="F17" i="3"/>
  <c r="H17" i="3" s="1"/>
  <c r="H16" i="3"/>
  <c r="F16" i="3"/>
  <c r="F15" i="3"/>
  <c r="H15" i="3" s="1"/>
  <c r="F14" i="3"/>
  <c r="H14" i="3" s="1"/>
  <c r="F13" i="3"/>
  <c r="H13" i="3" s="1"/>
  <c r="F12" i="3"/>
  <c r="H12" i="3" s="1"/>
  <c r="D18" i="2"/>
  <c r="C18" i="2"/>
  <c r="N12" i="2"/>
  <c r="N11" i="2"/>
  <c r="N10" i="2"/>
  <c r="D20" i="7"/>
  <c r="E20" i="7"/>
  <c r="F20" i="7"/>
  <c r="G20" i="7"/>
  <c r="H20" i="7"/>
  <c r="I20" i="7"/>
  <c r="L12" i="7"/>
  <c r="C11" i="7"/>
  <c r="L11" i="7" s="1"/>
  <c r="C10" i="7"/>
  <c r="L10" i="7" s="1"/>
  <c r="E29" i="6"/>
  <c r="G29" i="6"/>
  <c r="C18" i="6"/>
  <c r="J18" i="6" s="1"/>
  <c r="F17" i="6"/>
  <c r="J17" i="6" s="1"/>
  <c r="F16" i="6"/>
  <c r="J16" i="6" s="1"/>
  <c r="C15" i="6"/>
  <c r="J15" i="6" s="1"/>
  <c r="C14" i="6"/>
  <c r="J14" i="6" s="1"/>
  <c r="C13" i="6"/>
  <c r="J13" i="6" s="1"/>
  <c r="C12" i="6"/>
  <c r="J12" i="6" s="1"/>
  <c r="C11" i="6"/>
  <c r="J11" i="6" s="1"/>
  <c r="C10" i="6"/>
  <c r="J10" i="6" s="1"/>
  <c r="C77" i="5"/>
  <c r="D76" i="5"/>
  <c r="E76" i="5"/>
  <c r="F76" i="5"/>
  <c r="G76" i="5"/>
  <c r="H76" i="5"/>
  <c r="C76" i="5"/>
  <c r="G17" i="5"/>
  <c r="J17" i="5" s="1"/>
  <c r="J16" i="5"/>
  <c r="D15" i="5"/>
  <c r="J15" i="5" s="1"/>
  <c r="J14" i="5"/>
  <c r="D14" i="5"/>
  <c r="D13" i="5"/>
  <c r="J13" i="5" s="1"/>
  <c r="D12" i="5"/>
  <c r="J12" i="5" s="1"/>
  <c r="D11" i="5"/>
  <c r="J11" i="5" s="1"/>
  <c r="G10" i="5"/>
  <c r="J10" i="5" s="1"/>
  <c r="C29" i="6" l="1"/>
  <c r="F29" i="6"/>
  <c r="C20" i="7"/>
  <c r="C21" i="7" s="1"/>
  <c r="L19" i="7"/>
  <c r="H36" i="3"/>
  <c r="J47" i="6" l="1"/>
  <c r="H29" i="6"/>
  <c r="J48" i="6" s="1"/>
  <c r="J44" i="6"/>
  <c r="J8" i="6"/>
  <c r="J20" i="6"/>
  <c r="J21" i="6"/>
  <c r="J22" i="6"/>
  <c r="J24" i="6"/>
  <c r="J25" i="6"/>
  <c r="J26" i="6"/>
  <c r="J27" i="6"/>
  <c r="J28" i="6"/>
  <c r="J45" i="5"/>
  <c r="J20" i="7"/>
  <c r="L8" i="7"/>
  <c r="L14" i="7"/>
  <c r="L15" i="7"/>
  <c r="L16" i="7"/>
  <c r="L17" i="7"/>
  <c r="L18" i="7"/>
  <c r="L20" i="7" l="1"/>
  <c r="J8" i="5"/>
  <c r="J19" i="5"/>
  <c r="J20" i="5"/>
  <c r="J21" i="5"/>
  <c r="J22" i="5"/>
  <c r="J23" i="5"/>
  <c r="J28" i="5"/>
  <c r="J29" i="5"/>
  <c r="J30" i="5"/>
  <c r="J31" i="5"/>
  <c r="J33" i="5"/>
  <c r="J35" i="5"/>
  <c r="J36" i="5"/>
  <c r="J37" i="5"/>
  <c r="J38" i="5"/>
  <c r="J39" i="5"/>
  <c r="J40" i="5"/>
  <c r="J41" i="5"/>
  <c r="J42" i="5"/>
  <c r="J43" i="5"/>
  <c r="J44" i="5"/>
  <c r="J47" i="5"/>
  <c r="J48" i="5"/>
  <c r="J49" i="5"/>
  <c r="J50" i="5"/>
  <c r="J55" i="5"/>
  <c r="J56" i="5"/>
  <c r="J58" i="5"/>
  <c r="J59" i="5"/>
  <c r="J61" i="5"/>
  <c r="J62" i="5"/>
  <c r="J63" i="5"/>
  <c r="J64" i="5"/>
  <c r="J66" i="5"/>
  <c r="J68" i="5"/>
  <c r="J69" i="5"/>
  <c r="J70" i="5"/>
  <c r="J71" i="5"/>
  <c r="J73" i="5"/>
  <c r="J74" i="5"/>
  <c r="J75" i="5"/>
  <c r="A2" i="5"/>
  <c r="A2" i="7" s="1"/>
  <c r="A2" i="6" s="1"/>
  <c r="E18" i="2"/>
  <c r="F18" i="2"/>
  <c r="G18" i="2"/>
  <c r="H18" i="2"/>
  <c r="C19" i="2" s="1"/>
  <c r="I18" i="2"/>
  <c r="J18" i="2"/>
  <c r="K18" i="2"/>
  <c r="L18" i="2"/>
  <c r="N8" i="2"/>
  <c r="N14" i="2"/>
  <c r="N15" i="2"/>
  <c r="N16" i="2"/>
  <c r="N17" i="2"/>
  <c r="N18" i="2" l="1"/>
  <c r="A3" i="3"/>
  <c r="H9" i="3" l="1"/>
  <c r="H28" i="3"/>
  <c r="H29" i="3"/>
  <c r="H30" i="3"/>
  <c r="H31" i="3"/>
  <c r="H32" i="3"/>
  <c r="H33" i="3"/>
  <c r="H34" i="3"/>
  <c r="H35" i="3"/>
  <c r="E32" i="5" l="1"/>
  <c r="J32" i="5" s="1"/>
  <c r="E53" i="5" l="1"/>
  <c r="J53" i="5" s="1"/>
  <c r="E72" i="5"/>
  <c r="J72" i="5" s="1"/>
  <c r="E67" i="5"/>
  <c r="J67" i="5" s="1"/>
  <c r="E65" i="5"/>
  <c r="J65" i="5" s="1"/>
  <c r="H60" i="5"/>
  <c r="J60" i="5" s="1"/>
  <c r="H54" i="5"/>
  <c r="J54" i="5" s="1"/>
  <c r="H52" i="5"/>
  <c r="J52" i="5" s="1"/>
  <c r="E51" i="5"/>
  <c r="J51" i="5" s="1"/>
  <c r="H46" i="5"/>
  <c r="J46" i="5" s="1"/>
  <c r="H27" i="5"/>
  <c r="E25" i="5"/>
  <c r="J25" i="5" s="1"/>
  <c r="E24" i="5"/>
  <c r="J27" i="5" l="1"/>
  <c r="J24" i="5"/>
  <c r="J37" i="3" l="1"/>
  <c r="P74" i="5" l="1"/>
  <c r="O69" i="5"/>
  <c r="P63" i="5"/>
  <c r="P61" i="5"/>
  <c r="E57" i="5"/>
  <c r="J57" i="5" s="1"/>
  <c r="D23" i="6"/>
  <c r="O51" i="5"/>
  <c r="N51" i="5"/>
  <c r="J23" i="6" l="1"/>
  <c r="J29" i="6" s="1"/>
  <c r="D29" i="6"/>
  <c r="C30" i="6" s="1"/>
  <c r="J46" i="6"/>
  <c r="E34" i="5"/>
  <c r="J34" i="5" s="1"/>
  <c r="E26" i="5"/>
  <c r="J26" i="5" l="1"/>
  <c r="J45" i="6" l="1"/>
  <c r="J49" i="6" s="1"/>
</calcChain>
</file>

<file path=xl/sharedStrings.xml><?xml version="1.0" encoding="utf-8"?>
<sst xmlns="http://schemas.openxmlformats.org/spreadsheetml/2006/main" count="265" uniqueCount="150">
  <si>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</si>
  <si>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</si>
  <si>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</si>
  <si>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</si>
  <si>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</si>
  <si>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</si>
  <si>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</si>
  <si>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</si>
  <si>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</si>
  <si>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</si>
  <si>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</si>
  <si>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</si>
  <si>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</si>
  <si>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</si>
  <si>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</si>
  <si>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</si>
  <si>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</si>
  <si>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</si>
  <si>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</si>
  <si>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</si>
  <si>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</si>
  <si>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</si>
  <si>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</si>
  <si>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</si>
  <si>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</si>
  <si>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</si>
  <si>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</si>
  <si>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</si>
  <si>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</si>
  <si>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</si>
  <si>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</si>
  <si>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</si>
  <si>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</si>
  <si>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</si>
  <si>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</si>
  <si>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</si>
  <si>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</si>
  <si>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</si>
  <si>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</si>
  <si>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</si>
  <si>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</si>
  <si>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</si>
  <si>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</si>
  <si>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</si>
  <si>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</si>
  <si>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Hoàng Văn Thực</t>
  </si>
  <si>
    <t>Thôn Nà Chang</t>
  </si>
  <si>
    <t>Hà Thị Hoa</t>
  </si>
  <si>
    <t>Hà Tạ Bến</t>
  </si>
  <si>
    <t>Hà Hữu Hòa</t>
  </si>
  <si>
    <t>Hà Hữu Hùng</t>
  </si>
  <si>
    <t>Trần Mạnh Hùng</t>
  </si>
  <si>
    <t>Trần Ngọc Trọng</t>
  </si>
  <si>
    <t>Hoàng Hữu Bắc</t>
  </si>
  <si>
    <t>Lèng Văn Đường</t>
  </si>
  <si>
    <t>Hoàng Hữu Thám</t>
  </si>
  <si>
    <t>Âu Thị Như</t>
  </si>
  <si>
    <t>Lèng Văn Toàn</t>
  </si>
  <si>
    <t>Lèng Văn Đoàn</t>
  </si>
  <si>
    <t>Hà Tạ Duy</t>
  </si>
  <si>
    <t>Âu Thị Phấn</t>
  </si>
  <si>
    <t>Hoàng Thị Thơ</t>
  </si>
  <si>
    <t>Nguyễn Văn Huấn</t>
  </si>
  <si>
    <t>Lèng Văn Đại</t>
  </si>
  <si>
    <t>Bế Thị Thiết</t>
  </si>
  <si>
    <t>Hà Hữu Tuần</t>
  </si>
  <si>
    <t>Hoàng Vi Thượng</t>
  </si>
  <si>
    <t>Âu Đình Trọng</t>
  </si>
  <si>
    <t>Âu Đình Dũng</t>
  </si>
  <si>
    <t>Hà Hữu Thuận</t>
  </si>
  <si>
    <t>Nguyễn Văn Hòa</t>
  </si>
  <si>
    <t>Nguyễn Văn Trung</t>
  </si>
  <si>
    <t>Hà Hữu Chiến</t>
  </si>
  <si>
    <t>Đỗ Văn Tuyến</t>
  </si>
  <si>
    <t>Hà Hữu Huy</t>
  </si>
  <si>
    <t>Lường Thị Lệ</t>
  </si>
  <si>
    <t>Triệu Văn Hiếu</t>
  </si>
  <si>
    <t>Đinh Văn Thông</t>
  </si>
  <si>
    <t>Hà Văn Canh</t>
  </si>
  <si>
    <t>Hà Hữu Hạ</t>
  </si>
  <si>
    <t>Hà Hữu Chương</t>
  </si>
  <si>
    <t>Nguyễn Đình Liêu</t>
  </si>
  <si>
    <t>Đinh Văn Luyện</t>
  </si>
  <si>
    <t>Đinh Sỹ Hằng</t>
  </si>
  <si>
    <t>Đinh Sỹ Hiểu</t>
  </si>
  <si>
    <t>Hà Hữu Hợi</t>
  </si>
  <si>
    <t>Đinh Văn Ngô</t>
  </si>
  <si>
    <t>Hà Thị Đẹp</t>
  </si>
  <si>
    <t>Đinh Sỹ Cường</t>
  </si>
  <si>
    <t>Nguyễn Thị Thiện</t>
  </si>
  <si>
    <t>Triệu Văn Bảy</t>
  </si>
  <si>
    <t>Triệu Văn Ương</t>
  </si>
  <si>
    <t>Hà Hữu Quang</t>
  </si>
  <si>
    <t>Hoàng Văn Sơn</t>
  </si>
  <si>
    <t>Hà Hữu Hoàng</t>
  </si>
  <si>
    <t>Triệu Khánh Nam</t>
  </si>
  <si>
    <t>Hoàng Hữu Tuấn</t>
  </si>
  <si>
    <t>Triệu Văn Hữu</t>
  </si>
  <si>
    <t>Triệu Văn Quyết</t>
  </si>
  <si>
    <t>Mạn Văn Hè</t>
  </si>
  <si>
    <t>Hà Hữu Phòng</t>
  </si>
  <si>
    <t>Hà Hữu Hoản</t>
  </si>
  <si>
    <t>Hoàng Văn Hiệp</t>
  </si>
  <si>
    <t>Hoàng Thị Thùy</t>
  </si>
  <si>
    <t>đã kiểm tra bản phó</t>
  </si>
  <si>
    <t>Hà Hữu Quảng</t>
  </si>
  <si>
    <t>Hà Thị Chì</t>
  </si>
  <si>
    <t>Hà Hữu Cảnh</t>
  </si>
  <si>
    <t>Hà Thị Tiến</t>
  </si>
  <si>
    <t>Họ Và Tên</t>
  </si>
  <si>
    <t>Hà Thị Thậm</t>
  </si>
  <si>
    <t>Hoàng Hữu Thực</t>
  </si>
  <si>
    <t>Hoàng Văn Khuê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</si>
  <si>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</si>
  <si>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Hà Hữu Thưởng</t>
  </si>
  <si>
    <t>bo1</t>
  </si>
  <si>
    <t>Bo1</t>
  </si>
  <si>
    <t xml:space="preserve"> Hà Hữu Khanh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</si>
  <si>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</si>
  <si>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</si>
  <si>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</si>
  <si>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</si>
  <si>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</si>
  <si>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</si>
  <si>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</si>
  <si>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</si>
  <si>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Mạn Văn Lành</t>
  </si>
  <si>
    <t>Nông Ngọc Bông</t>
  </si>
  <si>
    <t>Đợt 21/8/2025</t>
  </si>
  <si>
    <t>Đợt Cơn bão số 10,11</t>
  </si>
  <si>
    <t>Hoàng Văn Khởi</t>
  </si>
  <si>
    <t>Âu Đình Biểu</t>
  </si>
  <si>
    <t>Trần Văn Xuyên</t>
  </si>
  <si>
    <t>Hà Thị Dẫn</t>
  </si>
  <si>
    <t>Nông Đức Luyến</t>
  </si>
  <si>
    <t>Hà Hữu Tín</t>
  </si>
  <si>
    <t>Cơn bão số 10,11</t>
  </si>
  <si>
    <t>Hoàng Văn Bình</t>
  </si>
  <si>
    <t>Vy Văn Vĩnh</t>
  </si>
  <si>
    <t xml:space="preserve">Lèng Văn Thao </t>
  </si>
  <si>
    <t>3 ao</t>
  </si>
  <si>
    <t>Hà Hữu Hoạt</t>
  </si>
  <si>
    <t>Nông Thị Nhự</t>
  </si>
  <si>
    <t>Hoàng Hữu Đông</t>
  </si>
  <si>
    <t>Hoàng Văn Chẻn</t>
  </si>
  <si>
    <t>Phụ lục 4: TỔNG HỢP  HỖ TRỢ ĐỐI VỚI CÂY LÂM NGHIỆP BỊ THIỆT HẠI DO THIÊN TAI (Thôn Nà Chang)</t>
  </si>
  <si>
    <t>Phụ lục 1: TỔNG HỢP  HỖ TRỢ ĐỐI VỚI CÂY LÚA BỊ THIỆT HẠI DO THIÊN TAI (Thôn Nà Chang)</t>
  </si>
  <si>
    <t>Phụ lục 2: TỔNG HỢPHỖ TRỢ ĐỐI VỚI CÂY TRỒNG (CÂY LÂU NĂM) BỊ THIỆT HẠI DO THIÊN TAI (Thôn Nà Chang)</t>
  </si>
  <si>
    <t>Phụ Lục 3: TỔNG HỢP HỖ TRỢ ĐỐI VỚI CÂY TRỒNG (CÂY HÀNG NĂM) BỊ THIỆT HẠI DO THIÊN TAI (Thôn Nà Chang)</t>
  </si>
  <si>
    <t>Phụ lục 5: TỔNG HỢP HỖ TRỢ ĐỐI VỚI THỦY SẢN BỊ THIỆT HẠI DO THIÊN TAI (Thôn Nà Chang)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</si>
</sst>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_(* #,##0.0_);_(* \(#,##0.0\);_(* &quot;-&quot;??_);_(@_)"/>
    <numFmt numFmtId="168" formatCode="_(* #,##0.000_);_(* \(#,##0.000\);_(* &quot;-&quot;???_);_(@_)"/>
    <numFmt numFmtId="170" formatCode="0.0000"/>
    <numFmt numFmtId="171" formatCode="0.00000"/>
    <numFmt numFmtId="172" formatCode="_(* #,##0.000_);_(* \(#,##0.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2" borderId="0" xfId="0" applyFont="1" applyFill="1"/>
    <xf numFmtId="43" fontId="0" fillId="0" borderId="0" xfId="0" applyNumberFormat="1" applyFill="1"/>
    <xf numFmtId="164" fontId="7" fillId="0" borderId="0" xfId="0" applyNumberFormat="1" applyFont="1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8" fontId="0" fillId="0" borderId="0" xfId="0" applyNumberFormat="1"/>
    <xf numFmtId="0" fontId="1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164" fontId="7" fillId="0" borderId="0" xfId="0" applyNumberFormat="1" applyFont="1" applyFill="1" applyBorder="1"/>
    <xf numFmtId="16" fontId="7" fillId="0" borderId="0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/>
    <xf numFmtId="2" fontId="7" fillId="0" borderId="1" xfId="0" applyNumberFormat="1" applyFont="1" applyFill="1" applyBorder="1"/>
    <xf numFmtId="0" fontId="6" fillId="0" borderId="0" xfId="0" applyFont="1" applyFill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164" fontId="15" fillId="0" borderId="1" xfId="0" applyNumberFormat="1" applyFont="1" applyFill="1" applyBorder="1"/>
    <xf numFmtId="164" fontId="15" fillId="0" borderId="1" xfId="1" applyNumberFormat="1" applyFont="1" applyFill="1" applyBorder="1"/>
    <xf numFmtId="0" fontId="8" fillId="0" borderId="1" xfId="0" applyFont="1" applyFill="1" applyBorder="1"/>
    <xf numFmtId="165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6" fontId="7" fillId="0" borderId="6" xfId="0" applyNumberFormat="1" applyFont="1" applyFill="1" applyBorder="1" applyAlignment="1">
      <alignment horizontal="left" vertical="center" wrapText="1"/>
    </xf>
    <xf numFmtId="166" fontId="7" fillId="0" borderId="7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/>
    <xf numFmtId="170" fontId="6" fillId="0" borderId="1" xfId="0" applyNumberFormat="1" applyFont="1" applyFill="1" applyBorder="1" applyAlignment="1">
      <alignment horizontal="center"/>
    </xf>
    <xf numFmtId="171" fontId="6" fillId="0" borderId="1" xfId="0" applyNumberFormat="1" applyFont="1" applyFill="1" applyBorder="1"/>
    <xf numFmtId="171" fontId="6" fillId="0" borderId="4" xfId="0" applyNumberFormat="1" applyFont="1" applyFill="1" applyBorder="1" applyAlignment="1">
      <alignment horizontal="center"/>
    </xf>
    <xf numFmtId="171" fontId="6" fillId="0" borderId="5" xfId="0" applyNumberFormat="1" applyFont="1" applyFill="1" applyBorder="1" applyAlignment="1">
      <alignment horizontal="center"/>
    </xf>
    <xf numFmtId="171" fontId="6" fillId="0" borderId="3" xfId="0" applyNumberFormat="1" applyFont="1" applyFill="1" applyBorder="1" applyAlignment="1">
      <alignment horizontal="center"/>
    </xf>
    <xf numFmtId="172" fontId="6" fillId="0" borderId="1" xfId="1" applyNumberFormat="1" applyFont="1" applyFill="1" applyBorder="1"/>
    <xf numFmtId="172" fontId="6" fillId="0" borderId="4" xfId="0" applyNumberFormat="1" applyFont="1" applyFill="1" applyBorder="1" applyAlignment="1">
      <alignment horizontal="left"/>
    </xf>
    <xf numFmtId="172" fontId="6" fillId="0" borderId="5" xfId="0" applyNumberFormat="1" applyFont="1" applyFill="1" applyBorder="1" applyAlignment="1">
      <alignment horizontal="left"/>
    </xf>
    <xf numFmtId="172" fontId="6" fillId="0" borderId="3" xfId="0" applyNumberFormat="1" applyFont="1" applyFill="1" applyBorder="1" applyAlignment="1">
      <alignment horizontal="left"/>
    </xf>
    <xf numFmtId="170" fontId="2" fillId="0" borderId="1" xfId="0" applyNumberFormat="1" applyFont="1" applyBorder="1"/>
    <xf numFmtId="170" fontId="2" fillId="0" borderId="4" xfId="0" applyNumberFormat="1" applyFont="1" applyBorder="1" applyAlignment="1">
      <alignment horizontal="center"/>
    </xf>
    <xf numFmtId="170" fontId="2" fillId="0" borderId="5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tabSelected="1" zoomScale="96" zoomScaleNormal="96" workbookViewId="0">
      <pane xSplit="5" ySplit="5" topLeftCell="H12" activePane="bottomRight" state="frozen"/>
      <selection pane="topRight" activeCell="F1" sqref="F1"/>
      <selection pane="bottomLeft" activeCell="A6" sqref="A6"/>
      <selection pane="bottomRight" activeCell="C18" sqref="C18:M19"/>
    </sheetView>
  </sheetViews>
  <sheetFormatPr defaultRowHeight="15.75" x14ac:dyDescent="0.25"/>
  <cols>
    <col min="1" max="1" width="5.625" style="45" customWidth="1"/>
    <col min="2" max="2" width="26.75" customWidth="1"/>
    <col min="3" max="3" width="15.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7.25" style="27" customWidth="1"/>
    <col min="14" max="14" width="17.25" customWidth="1"/>
    <col min="15" max="63" width="9" style="10"/>
  </cols>
  <sheetData>
    <row r="1" spans="1:63" x14ac:dyDescent="0.25">
      <c r="A1" s="41"/>
    </row>
    <row r="2" spans="1:63" x14ac:dyDescent="0.25">
      <c r="A2" s="94" t="s">
        <v>145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63" x14ac:dyDescent="0.25">
      <c r="A3" s="98" t="str">
        <f>'[1]Lam Nghiep'!$A$3:$N$3</f>
        <v>(Kèm theo Thông báo  số 79/TB-UBND ngày 10/11/2025 của UBND xã Tân Kỳ)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63" ht="19.5" customHeight="1" x14ac:dyDescent="0.25">
      <c r="A4" s="95" t="s">
        <v>0</v>
      </c>
      <c r="B4" s="95" t="s">
        <v>42</v>
      </c>
      <c r="C4" s="95" t="s">
        <v>2</v>
      </c>
      <c r="D4" s="95"/>
      <c r="E4" s="95"/>
      <c r="F4" s="95"/>
      <c r="G4" s="95"/>
      <c r="H4" s="95" t="s">
        <v>3</v>
      </c>
      <c r="I4" s="95"/>
      <c r="J4" s="95"/>
      <c r="K4" s="95"/>
      <c r="L4" s="95"/>
      <c r="M4" s="96" t="s">
        <v>29</v>
      </c>
      <c r="N4" s="97" t="s">
        <v>30</v>
      </c>
      <c r="O4" s="9"/>
      <c r="P4" s="9"/>
      <c r="Q4" s="9"/>
      <c r="R4" s="9"/>
      <c r="S4" s="9"/>
    </row>
    <row r="5" spans="1:63" ht="102.75" customHeight="1" x14ac:dyDescent="0.25">
      <c r="A5" s="95"/>
      <c r="B5" s="95"/>
      <c r="C5" s="43" t="s">
        <v>4</v>
      </c>
      <c r="D5" s="43" t="s">
        <v>119</v>
      </c>
      <c r="E5" s="43" t="s">
        <v>5</v>
      </c>
      <c r="F5" s="95" t="s">
        <v>6</v>
      </c>
      <c r="G5" s="95"/>
      <c r="H5" s="43" t="s">
        <v>4</v>
      </c>
      <c r="I5" s="43" t="s">
        <v>119</v>
      </c>
      <c r="J5" s="43" t="s">
        <v>5</v>
      </c>
      <c r="K5" s="95" t="s">
        <v>6</v>
      </c>
      <c r="L5" s="95"/>
      <c r="M5" s="96"/>
      <c r="N5" s="97"/>
      <c r="O5" s="9"/>
      <c r="P5" s="9"/>
      <c r="Q5" s="9"/>
      <c r="R5" s="9"/>
      <c r="S5" s="9"/>
    </row>
    <row r="6" spans="1:63" ht="16.5" customHeight="1" x14ac:dyDescent="0.25">
      <c r="A6" s="42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32" t="s">
        <v>32</v>
      </c>
      <c r="N6" s="33" t="s">
        <v>33</v>
      </c>
      <c r="O6" s="9"/>
      <c r="P6" s="9"/>
      <c r="Q6" s="9"/>
      <c r="R6" s="9"/>
      <c r="S6" s="9"/>
    </row>
    <row r="7" spans="1:63" s="10" customFormat="1" x14ac:dyDescent="0.25">
      <c r="A7" s="42"/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6">
        <v>6</v>
      </c>
      <c r="H7" s="46">
        <v>4</v>
      </c>
      <c r="I7" s="46">
        <v>5</v>
      </c>
      <c r="J7" s="46">
        <v>9</v>
      </c>
      <c r="K7" s="46">
        <v>10</v>
      </c>
      <c r="L7" s="46">
        <v>11</v>
      </c>
      <c r="M7" s="47">
        <v>6</v>
      </c>
      <c r="N7" s="48">
        <v>7</v>
      </c>
      <c r="O7" s="9"/>
      <c r="P7" s="9"/>
      <c r="Q7" s="9"/>
      <c r="R7" s="9"/>
      <c r="S7" s="9"/>
    </row>
    <row r="8" spans="1:63" s="3" customFormat="1" ht="18.75" x14ac:dyDescent="0.3">
      <c r="A8" s="43"/>
      <c r="B8" s="49" t="s">
        <v>46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4"/>
      <c r="N8" s="14">
        <f t="shared" ref="N8:N17" si="0">(C8+D8+H8+I8)*M8</f>
        <v>0</v>
      </c>
      <c r="O8" s="12"/>
      <c r="P8" s="12"/>
      <c r="Q8" s="12"/>
      <c r="R8" s="12"/>
      <c r="S8" s="12"/>
    </row>
    <row r="9" spans="1:63" s="3" customFormat="1" ht="18.75" x14ac:dyDescent="0.3">
      <c r="A9" s="73"/>
      <c r="B9" s="85" t="s">
        <v>128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4"/>
      <c r="N9" s="14"/>
      <c r="O9" s="12"/>
      <c r="P9" s="12"/>
      <c r="Q9" s="12"/>
      <c r="R9" s="12"/>
      <c r="S9" s="12"/>
    </row>
    <row r="10" spans="1:63" s="3" customFormat="1" ht="18.75" x14ac:dyDescent="0.3">
      <c r="A10" s="99">
        <v>1</v>
      </c>
      <c r="B10" s="101" t="s">
        <v>55</v>
      </c>
      <c r="C10" s="15">
        <v>0.02</v>
      </c>
      <c r="D10" s="13"/>
      <c r="E10" s="13"/>
      <c r="F10" s="13"/>
      <c r="G10" s="13"/>
      <c r="H10" s="13"/>
      <c r="I10" s="13"/>
      <c r="J10" s="13"/>
      <c r="K10" s="13"/>
      <c r="L10" s="13"/>
      <c r="M10" s="4">
        <v>8000000</v>
      </c>
      <c r="N10" s="4">
        <f>M10*C10</f>
        <v>160000</v>
      </c>
      <c r="O10" s="12"/>
      <c r="P10" s="12"/>
      <c r="Q10" s="12"/>
      <c r="R10" s="12"/>
      <c r="S10" s="12"/>
    </row>
    <row r="11" spans="1:63" s="3" customFormat="1" ht="18.75" x14ac:dyDescent="0.3">
      <c r="A11" s="100"/>
      <c r="B11" s="102"/>
      <c r="C11" s="92">
        <v>0.08</v>
      </c>
      <c r="D11" s="13"/>
      <c r="E11" s="13"/>
      <c r="F11" s="13"/>
      <c r="G11" s="13"/>
      <c r="H11" s="13"/>
      <c r="I11" s="13"/>
      <c r="J11" s="13"/>
      <c r="K11" s="13"/>
      <c r="L11" s="13"/>
      <c r="M11" s="4">
        <v>8000000</v>
      </c>
      <c r="N11" s="4">
        <f>M11*C11</f>
        <v>640000</v>
      </c>
      <c r="O11" s="12"/>
      <c r="P11" s="12"/>
      <c r="Q11" s="12"/>
      <c r="R11" s="12"/>
      <c r="S11" s="12"/>
    </row>
    <row r="12" spans="1:63" s="3" customFormat="1" ht="18.75" x14ac:dyDescent="0.3">
      <c r="A12" s="13">
        <v>2</v>
      </c>
      <c r="B12" s="35" t="s">
        <v>138</v>
      </c>
      <c r="C12" s="36">
        <v>0.2</v>
      </c>
      <c r="D12" s="13"/>
      <c r="E12" s="13"/>
      <c r="F12" s="13"/>
      <c r="G12" s="13"/>
      <c r="H12" s="13"/>
      <c r="I12" s="13"/>
      <c r="J12" s="13"/>
      <c r="K12" s="13"/>
      <c r="L12" s="13"/>
      <c r="M12" s="4">
        <v>8000000</v>
      </c>
      <c r="N12" s="4">
        <f>M12*C12</f>
        <v>1600000</v>
      </c>
      <c r="O12" s="12"/>
      <c r="P12" s="12"/>
      <c r="Q12" s="12"/>
      <c r="R12" s="12"/>
      <c r="S12" s="12"/>
    </row>
    <row r="13" spans="1:63" s="3" customFormat="1" ht="18.75" x14ac:dyDescent="0.3">
      <c r="A13" s="73"/>
      <c r="B13" s="85" t="s">
        <v>129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"/>
      <c r="N13" s="14"/>
      <c r="O13" s="12"/>
      <c r="P13" s="12"/>
      <c r="Q13" s="12"/>
      <c r="R13" s="12"/>
      <c r="S13" s="12"/>
    </row>
    <row r="14" spans="1:63" s="24" customFormat="1" ht="18.75" x14ac:dyDescent="0.3">
      <c r="A14" s="42">
        <v>1</v>
      </c>
      <c r="B14" s="34" t="s">
        <v>81</v>
      </c>
      <c r="C14" s="13">
        <v>0.02</v>
      </c>
      <c r="D14" s="13"/>
      <c r="E14" s="13"/>
      <c r="F14" s="13"/>
      <c r="G14" s="13"/>
      <c r="H14" s="13"/>
      <c r="I14" s="13"/>
      <c r="J14" s="13"/>
      <c r="K14" s="13"/>
      <c r="L14" s="13"/>
      <c r="M14" s="4">
        <v>8000000</v>
      </c>
      <c r="N14" s="14">
        <f t="shared" si="0"/>
        <v>160000</v>
      </c>
      <c r="O14" s="12"/>
      <c r="P14" s="12"/>
      <c r="Q14" s="12"/>
      <c r="R14" s="12"/>
      <c r="S14" s="1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 s="24" customFormat="1" ht="18.75" x14ac:dyDescent="0.3">
      <c r="A15" s="42">
        <v>2</v>
      </c>
      <c r="B15" s="5" t="s">
        <v>91</v>
      </c>
      <c r="C15" s="13">
        <v>0.4</v>
      </c>
      <c r="D15" s="13"/>
      <c r="E15" s="13"/>
      <c r="F15" s="13"/>
      <c r="G15" s="13"/>
      <c r="H15" s="13"/>
      <c r="I15" s="13"/>
      <c r="J15" s="13"/>
      <c r="K15" s="13"/>
      <c r="L15" s="13"/>
      <c r="M15" s="4">
        <v>8000000</v>
      </c>
      <c r="N15" s="14">
        <f t="shared" si="0"/>
        <v>3200000</v>
      </c>
      <c r="O15" s="12"/>
      <c r="P15" s="36"/>
      <c r="Q15" s="12"/>
      <c r="R15" s="12"/>
      <c r="S15" s="1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s="24" customFormat="1" ht="18.75" x14ac:dyDescent="0.3">
      <c r="A16" s="42">
        <v>3</v>
      </c>
      <c r="B16" s="5" t="s">
        <v>92</v>
      </c>
      <c r="C16" s="5"/>
      <c r="D16" s="13">
        <v>0.3</v>
      </c>
      <c r="E16" s="13"/>
      <c r="F16" s="13"/>
      <c r="G16" s="13"/>
      <c r="H16" s="13"/>
      <c r="I16" s="13"/>
      <c r="J16" s="13"/>
      <c r="K16" s="13"/>
      <c r="L16" s="5"/>
      <c r="M16" s="4">
        <v>15000000</v>
      </c>
      <c r="N16" s="14">
        <f t="shared" si="0"/>
        <v>4500000</v>
      </c>
      <c r="O16" s="12"/>
      <c r="P16" s="36"/>
      <c r="Q16" s="12"/>
      <c r="R16" s="12"/>
      <c r="S16" s="1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s="24" customFormat="1" ht="18.75" x14ac:dyDescent="0.3">
      <c r="A17" s="42">
        <v>4</v>
      </c>
      <c r="B17" s="35" t="s">
        <v>102</v>
      </c>
      <c r="C17" s="15"/>
      <c r="D17" s="13">
        <v>0.3</v>
      </c>
      <c r="E17" s="13"/>
      <c r="F17" s="13"/>
      <c r="G17" s="13"/>
      <c r="H17" s="13"/>
      <c r="I17" s="13"/>
      <c r="J17" s="13"/>
      <c r="K17" s="13"/>
      <c r="L17" s="5"/>
      <c r="M17" s="4">
        <v>15000000</v>
      </c>
      <c r="N17" s="14">
        <f t="shared" si="0"/>
        <v>4500000</v>
      </c>
      <c r="O17" s="12"/>
      <c r="P17" s="12"/>
      <c r="Q17" s="12"/>
      <c r="R17" s="12"/>
      <c r="S17" s="1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x14ac:dyDescent="0.25">
      <c r="A18" s="44"/>
      <c r="B18" s="38" t="s">
        <v>118</v>
      </c>
      <c r="C18" s="127">
        <f>SUM(C8:C17)</f>
        <v>0.72000000000000008</v>
      </c>
      <c r="D18" s="127">
        <f>SUM(D8:D17)</f>
        <v>0.6</v>
      </c>
      <c r="E18" s="127">
        <f t="shared" ref="E18:L18" si="1">SUM(E8:E17)</f>
        <v>0</v>
      </c>
      <c r="F18" s="127">
        <f t="shared" si="1"/>
        <v>0</v>
      </c>
      <c r="G18" s="127">
        <f t="shared" si="1"/>
        <v>0</v>
      </c>
      <c r="H18" s="127">
        <f t="shared" si="1"/>
        <v>0</v>
      </c>
      <c r="I18" s="127">
        <f t="shared" si="1"/>
        <v>0</v>
      </c>
      <c r="J18" s="127">
        <f t="shared" si="1"/>
        <v>0</v>
      </c>
      <c r="K18" s="127">
        <f t="shared" si="1"/>
        <v>0</v>
      </c>
      <c r="L18" s="127">
        <f t="shared" si="1"/>
        <v>0</v>
      </c>
      <c r="M18" s="127"/>
      <c r="N18" s="39">
        <f>SUM(N8:N17)</f>
        <v>14760000</v>
      </c>
    </row>
    <row r="19" spans="1:63" x14ac:dyDescent="0.25">
      <c r="A19" s="44"/>
      <c r="B19" s="38" t="s">
        <v>120</v>
      </c>
      <c r="C19" s="128">
        <f>C18+D18+H18+I18</f>
        <v>1.32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39"/>
    </row>
    <row r="20" spans="1:63" x14ac:dyDescent="0.25">
      <c r="C20" s="40"/>
      <c r="D20" s="37"/>
      <c r="H20" s="37"/>
      <c r="I20" s="37"/>
      <c r="N20" s="40"/>
    </row>
    <row r="21" spans="1:63" x14ac:dyDescent="0.25">
      <c r="H21" t="s">
        <v>121</v>
      </c>
      <c r="N21" s="40"/>
    </row>
    <row r="22" spans="1:63" x14ac:dyDescent="0.25">
      <c r="N22" s="37"/>
    </row>
    <row r="23" spans="1:63" x14ac:dyDescent="0.25">
      <c r="N23" s="40"/>
    </row>
  </sheetData>
  <mergeCells count="13">
    <mergeCell ref="C19:M19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  <mergeCell ref="A10:A11"/>
    <mergeCell ref="B10:B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0"/>
  <sheetViews>
    <sheetView zoomScale="85" zoomScaleNormal="85" workbookViewId="0">
      <pane xSplit="2" ySplit="5" topLeftCell="C66" activePane="bottomRight" state="frozen"/>
      <selection pane="topRight" activeCell="C1" sqref="C1"/>
      <selection pane="bottomLeft" activeCell="A6" sqref="A6"/>
      <selection pane="bottomRight" activeCell="C76" sqref="C76:H77"/>
    </sheetView>
  </sheetViews>
  <sheetFormatPr defaultRowHeight="18.75" x14ac:dyDescent="0.3"/>
  <cols>
    <col min="1" max="1" width="6" style="3" customWidth="1"/>
    <col min="2" max="2" width="23.75" style="3" customWidth="1"/>
    <col min="3" max="3" width="8.875" style="3" customWidth="1"/>
    <col min="4" max="4" width="9.75" style="3" customWidth="1"/>
    <col min="5" max="5" width="10.125" style="3" customWidth="1"/>
    <col min="6" max="6" width="10.5" style="3" customWidth="1"/>
    <col min="7" max="7" width="10.875" style="3" customWidth="1"/>
    <col min="8" max="8" width="9.125" style="3" customWidth="1"/>
    <col min="9" max="9" width="15.75" style="3" customWidth="1"/>
    <col min="10" max="10" width="14.125" style="26" customWidth="1"/>
    <col min="11" max="11" width="7.25" style="3" customWidth="1"/>
    <col min="12" max="12" width="21" style="23" customWidth="1"/>
    <col min="13" max="13" width="14.25" style="23" bestFit="1" customWidth="1"/>
    <col min="14" max="79" width="9" style="23"/>
    <col min="80" max="16384" width="9" style="3"/>
  </cols>
  <sheetData>
    <row r="1" spans="1:79" x14ac:dyDescent="0.3">
      <c r="A1" s="106" t="s">
        <v>146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79" ht="21.75" customHeight="1" x14ac:dyDescent="0.3">
      <c r="A2" s="107" t="str">
        <f>'Lam Nghiep'!A3:N3</f>
        <v>(Kèm theo Thông báo  số 79/TB-UBND ngày 10/11/2025 của UBND xã Tân Kỳ)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79" ht="28.5" customHeight="1" x14ac:dyDescent="0.3">
      <c r="A3" s="97" t="s">
        <v>13</v>
      </c>
      <c r="B3" s="97" t="s">
        <v>42</v>
      </c>
      <c r="C3" s="97" t="s">
        <v>14</v>
      </c>
      <c r="D3" s="97"/>
      <c r="E3" s="97"/>
      <c r="F3" s="108" t="s">
        <v>15</v>
      </c>
      <c r="G3" s="108"/>
      <c r="H3" s="108"/>
      <c r="I3" s="97" t="s">
        <v>29</v>
      </c>
      <c r="J3" s="109" t="s">
        <v>30</v>
      </c>
      <c r="K3" s="97" t="s">
        <v>31</v>
      </c>
    </row>
    <row r="4" spans="1:79" ht="15.75" customHeight="1" x14ac:dyDescent="0.3">
      <c r="A4" s="97"/>
      <c r="B4" s="97"/>
      <c r="C4" s="97" t="s">
        <v>16</v>
      </c>
      <c r="D4" s="97"/>
      <c r="E4" s="97"/>
      <c r="F4" s="97" t="s">
        <v>16</v>
      </c>
      <c r="G4" s="97"/>
      <c r="H4" s="97"/>
      <c r="I4" s="97"/>
      <c r="J4" s="109"/>
      <c r="K4" s="97"/>
    </row>
    <row r="5" spans="1:79" ht="72.75" customHeight="1" x14ac:dyDescent="0.3">
      <c r="A5" s="97"/>
      <c r="B5" s="97"/>
      <c r="C5" s="21" t="s">
        <v>18</v>
      </c>
      <c r="D5" s="21" t="s">
        <v>19</v>
      </c>
      <c r="E5" s="21" t="s">
        <v>20</v>
      </c>
      <c r="F5" s="21" t="s">
        <v>24</v>
      </c>
      <c r="G5" s="21" t="s">
        <v>25</v>
      </c>
      <c r="H5" s="21" t="s">
        <v>26</v>
      </c>
      <c r="I5" s="97"/>
      <c r="J5" s="109"/>
      <c r="K5" s="97"/>
    </row>
    <row r="6" spans="1:79" ht="20.25" customHeight="1" x14ac:dyDescent="0.3">
      <c r="A6" s="97"/>
      <c r="B6" s="97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22" t="s">
        <v>32</v>
      </c>
      <c r="J6" s="33" t="s">
        <v>33</v>
      </c>
      <c r="K6" s="13"/>
    </row>
    <row r="7" spans="1:79" s="63" customFormat="1" ht="14.25" customHeight="1" x14ac:dyDescent="0.3">
      <c r="A7" s="22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33">
        <v>9</v>
      </c>
      <c r="K7" s="22">
        <v>10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</row>
    <row r="8" spans="1:79" s="5" customFormat="1" ht="23.25" customHeight="1" x14ac:dyDescent="0.3">
      <c r="A8" s="17"/>
      <c r="B8" s="17" t="s">
        <v>46</v>
      </c>
      <c r="I8" s="4"/>
      <c r="J8" s="7">
        <f t="shared" ref="J8:J43" si="0">(E8+H8)*I8</f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</row>
    <row r="9" spans="1:79" s="5" customFormat="1" ht="23.25" customHeight="1" x14ac:dyDescent="0.3">
      <c r="A9" s="17"/>
      <c r="B9" s="85" t="s">
        <v>128</v>
      </c>
      <c r="I9" s="4"/>
      <c r="J9" s="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</row>
    <row r="10" spans="1:79" s="5" customFormat="1" ht="23.25" customHeight="1" x14ac:dyDescent="0.3">
      <c r="A10" s="74">
        <v>1</v>
      </c>
      <c r="B10" s="5" t="s">
        <v>130</v>
      </c>
      <c r="G10" s="15">
        <f>0.0001*100</f>
        <v>0.01</v>
      </c>
      <c r="I10" s="4">
        <v>4000000</v>
      </c>
      <c r="J10" s="7">
        <f>I10*G10</f>
        <v>40000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</row>
    <row r="11" spans="1:79" s="5" customFormat="1" ht="23.25" customHeight="1" x14ac:dyDescent="0.3">
      <c r="A11" s="74">
        <v>2</v>
      </c>
      <c r="B11" s="75" t="s">
        <v>103</v>
      </c>
      <c r="D11" s="86">
        <f>0.0001*(150)</f>
        <v>1.5000000000000001E-2</v>
      </c>
      <c r="I11" s="4">
        <v>8000000</v>
      </c>
      <c r="J11" s="7">
        <f>I11*D11</f>
        <v>120000.00000000001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</row>
    <row r="12" spans="1:79" s="5" customFormat="1" ht="23.25" customHeight="1" x14ac:dyDescent="0.3">
      <c r="A12" s="74">
        <v>3</v>
      </c>
      <c r="B12" s="75" t="s">
        <v>63</v>
      </c>
      <c r="D12" s="5">
        <f>(300)*0.0001</f>
        <v>3.0000000000000002E-2</v>
      </c>
      <c r="I12" s="4">
        <v>8000000</v>
      </c>
      <c r="J12" s="7">
        <f>D12*I12</f>
        <v>240000.00000000003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</row>
    <row r="13" spans="1:79" s="5" customFormat="1" ht="23.25" customHeight="1" x14ac:dyDescent="0.3">
      <c r="A13" s="74">
        <v>4</v>
      </c>
      <c r="B13" s="75" t="s">
        <v>59</v>
      </c>
      <c r="D13" s="5">
        <f>(200)*0.0001</f>
        <v>0.02</v>
      </c>
      <c r="I13" s="4">
        <v>8000000</v>
      </c>
      <c r="J13" s="7">
        <f>I13*D13</f>
        <v>160000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s="5" customFormat="1" ht="23.25" customHeight="1" x14ac:dyDescent="0.3">
      <c r="A14" s="74">
        <v>5</v>
      </c>
      <c r="B14" s="5" t="s">
        <v>131</v>
      </c>
      <c r="D14" s="5">
        <f>0.0001*300</f>
        <v>3.0000000000000002E-2</v>
      </c>
      <c r="I14" s="4">
        <v>8000000</v>
      </c>
      <c r="J14" s="7">
        <f>I14*D14</f>
        <v>240000.00000000003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</row>
    <row r="15" spans="1:79" s="5" customFormat="1" ht="23.25" customHeight="1" x14ac:dyDescent="0.3">
      <c r="A15" s="74">
        <v>6</v>
      </c>
      <c r="B15" s="5" t="s">
        <v>60</v>
      </c>
      <c r="D15" s="5">
        <f>0.0001*(30)</f>
        <v>3.0000000000000001E-3</v>
      </c>
      <c r="I15" s="4">
        <v>8000000</v>
      </c>
      <c r="J15" s="7">
        <f>I15*D15</f>
        <v>24000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</row>
    <row r="16" spans="1:79" s="5" customFormat="1" ht="23.25" customHeight="1" x14ac:dyDescent="0.3">
      <c r="A16" s="74">
        <v>7</v>
      </c>
      <c r="B16" s="5" t="s">
        <v>56</v>
      </c>
      <c r="G16" s="5">
        <v>0.02</v>
      </c>
      <c r="I16" s="4">
        <v>4000000</v>
      </c>
      <c r="J16" s="7">
        <f>I16*G16</f>
        <v>80000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s="5" customFormat="1" ht="23.25" customHeight="1" x14ac:dyDescent="0.3">
      <c r="A17" s="74">
        <v>8</v>
      </c>
      <c r="B17" s="5" t="s">
        <v>132</v>
      </c>
      <c r="G17" s="5">
        <f>0.0001*(400)</f>
        <v>0.04</v>
      </c>
      <c r="I17" s="4">
        <v>4000000</v>
      </c>
      <c r="J17" s="7">
        <f>I17*G17</f>
        <v>160000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s="5" customFormat="1" ht="23.25" customHeight="1" x14ac:dyDescent="0.3">
      <c r="A18" s="17"/>
      <c r="B18" s="85" t="s">
        <v>129</v>
      </c>
      <c r="I18" s="4"/>
      <c r="J18" s="7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s="5" customFormat="1" ht="23.25" customHeight="1" x14ac:dyDescent="0.3">
      <c r="A19" s="5">
        <v>1</v>
      </c>
      <c r="B19" s="5" t="s">
        <v>47</v>
      </c>
      <c r="E19" s="5">
        <v>9.5000000000000001E-2</v>
      </c>
      <c r="I19" s="4">
        <v>10000000</v>
      </c>
      <c r="J19" s="7">
        <f t="shared" si="0"/>
        <v>950000</v>
      </c>
      <c r="L19" s="53"/>
      <c r="M19" s="5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s="5" customFormat="1" ht="23.25" customHeight="1" x14ac:dyDescent="0.3">
      <c r="A20" s="5">
        <v>2</v>
      </c>
      <c r="B20" s="5" t="s">
        <v>48</v>
      </c>
      <c r="E20" s="5">
        <v>0.02</v>
      </c>
      <c r="I20" s="4">
        <v>10000000</v>
      </c>
      <c r="J20" s="7">
        <f t="shared" si="0"/>
        <v>200000</v>
      </c>
      <c r="L20" s="5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s="5" customFormat="1" ht="23.25" customHeight="1" x14ac:dyDescent="0.3">
      <c r="A21" s="5">
        <v>3</v>
      </c>
      <c r="B21" s="5" t="s">
        <v>110</v>
      </c>
      <c r="E21" s="5">
        <v>0.15</v>
      </c>
      <c r="I21" s="4">
        <v>10000000</v>
      </c>
      <c r="J21" s="7">
        <f t="shared" si="0"/>
        <v>1500000</v>
      </c>
      <c r="L21" s="5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</row>
    <row r="22" spans="1:79" s="5" customFormat="1" ht="23.25" customHeight="1" x14ac:dyDescent="0.3">
      <c r="A22" s="5">
        <v>4</v>
      </c>
      <c r="B22" s="5" t="s">
        <v>49</v>
      </c>
      <c r="E22" s="5">
        <v>0.12</v>
      </c>
      <c r="I22" s="4">
        <v>10000000</v>
      </c>
      <c r="J22" s="7">
        <f t="shared" si="0"/>
        <v>1200000</v>
      </c>
      <c r="L22" s="5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</row>
    <row r="23" spans="1:79" s="5" customFormat="1" ht="23.25" customHeight="1" x14ac:dyDescent="0.3">
      <c r="A23" s="5">
        <v>5</v>
      </c>
      <c r="B23" s="5" t="s">
        <v>103</v>
      </c>
      <c r="E23" s="5">
        <v>0.12</v>
      </c>
      <c r="I23" s="4">
        <v>10000000</v>
      </c>
      <c r="J23" s="7">
        <f t="shared" si="0"/>
        <v>1200000</v>
      </c>
      <c r="L23" s="5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</row>
    <row r="24" spans="1:79" s="5" customFormat="1" ht="23.25" customHeight="1" x14ac:dyDescent="0.3">
      <c r="A24" s="5">
        <v>6</v>
      </c>
      <c r="B24" s="5" t="s">
        <v>50</v>
      </c>
      <c r="E24" s="5">
        <f>0.13+0.07</f>
        <v>0.2</v>
      </c>
      <c r="I24" s="4">
        <v>10000000</v>
      </c>
      <c r="J24" s="7">
        <f t="shared" si="0"/>
        <v>2000000</v>
      </c>
      <c r="L24" s="5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</row>
    <row r="25" spans="1:79" s="5" customFormat="1" ht="23.25" customHeight="1" x14ac:dyDescent="0.3">
      <c r="A25" s="5">
        <v>7</v>
      </c>
      <c r="B25" s="5" t="s">
        <v>52</v>
      </c>
      <c r="E25" s="5">
        <f>0.07+0.04</f>
        <v>0.11000000000000001</v>
      </c>
      <c r="I25" s="4">
        <v>10000000</v>
      </c>
      <c r="J25" s="7">
        <f t="shared" si="0"/>
        <v>1100000.0000000002</v>
      </c>
      <c r="L25" s="5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</row>
    <row r="26" spans="1:79" s="5" customFormat="1" ht="23.25" customHeight="1" x14ac:dyDescent="0.3">
      <c r="A26" s="5">
        <v>8</v>
      </c>
      <c r="B26" s="5" t="s">
        <v>53</v>
      </c>
      <c r="E26" s="5">
        <f>0.0001*150</f>
        <v>1.5000000000000001E-2</v>
      </c>
      <c r="I26" s="4">
        <v>10000000</v>
      </c>
      <c r="J26" s="7">
        <f t="shared" si="0"/>
        <v>150000</v>
      </c>
      <c r="L26" s="5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</row>
    <row r="27" spans="1:79" s="5" customFormat="1" ht="23.25" customHeight="1" x14ac:dyDescent="0.3">
      <c r="A27" s="5">
        <v>9</v>
      </c>
      <c r="B27" s="5" t="s">
        <v>54</v>
      </c>
      <c r="H27" s="5">
        <f>0.01+0.01</f>
        <v>0.02</v>
      </c>
      <c r="I27" s="19">
        <v>5000000</v>
      </c>
      <c r="J27" s="7">
        <f t="shared" si="0"/>
        <v>100000</v>
      </c>
      <c r="L27" s="10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</row>
    <row r="28" spans="1:79" ht="23.25" customHeight="1" x14ac:dyDescent="0.3">
      <c r="A28" s="5">
        <v>10</v>
      </c>
      <c r="B28" s="5" t="s">
        <v>55</v>
      </c>
      <c r="C28" s="5"/>
      <c r="D28" s="5"/>
      <c r="E28" s="5">
        <v>0.16</v>
      </c>
      <c r="F28" s="5"/>
      <c r="G28" s="5"/>
      <c r="H28" s="5"/>
      <c r="I28" s="4">
        <v>10000000</v>
      </c>
      <c r="J28" s="7">
        <f t="shared" si="0"/>
        <v>1600000</v>
      </c>
      <c r="K28" s="5"/>
      <c r="L28" s="103"/>
    </row>
    <row r="29" spans="1:79" ht="23.25" customHeight="1" x14ac:dyDescent="0.3">
      <c r="A29" s="5">
        <v>11</v>
      </c>
      <c r="B29" s="5" t="s">
        <v>56</v>
      </c>
      <c r="C29" s="5"/>
      <c r="D29" s="5"/>
      <c r="E29" s="5">
        <v>0.12</v>
      </c>
      <c r="F29" s="5"/>
      <c r="G29" s="5"/>
      <c r="H29" s="5"/>
      <c r="I29" s="4">
        <v>10000000</v>
      </c>
      <c r="J29" s="7">
        <f t="shared" si="0"/>
        <v>1200000</v>
      </c>
      <c r="K29" s="5"/>
      <c r="L29" s="53"/>
    </row>
    <row r="30" spans="1:79" ht="23.25" customHeight="1" x14ac:dyDescent="0.3">
      <c r="A30" s="5">
        <v>12</v>
      </c>
      <c r="B30" s="5" t="s">
        <v>57</v>
      </c>
      <c r="C30" s="5"/>
      <c r="D30" s="5"/>
      <c r="E30" s="5">
        <v>0.05</v>
      </c>
      <c r="F30" s="5"/>
      <c r="G30" s="5"/>
      <c r="H30" s="5"/>
      <c r="I30" s="4">
        <v>10000000</v>
      </c>
      <c r="J30" s="7">
        <f t="shared" si="0"/>
        <v>500000</v>
      </c>
      <c r="K30" s="5"/>
      <c r="L30" s="54"/>
    </row>
    <row r="31" spans="1:79" ht="23.25" customHeight="1" x14ac:dyDescent="0.3">
      <c r="A31" s="5">
        <v>13</v>
      </c>
      <c r="B31" s="5" t="s">
        <v>58</v>
      </c>
      <c r="C31" s="5"/>
      <c r="D31" s="5"/>
      <c r="E31" s="5">
        <v>0.06</v>
      </c>
      <c r="F31" s="5"/>
      <c r="G31" s="5"/>
      <c r="H31" s="5"/>
      <c r="I31" s="4">
        <v>10000000</v>
      </c>
      <c r="J31" s="7">
        <f t="shared" si="0"/>
        <v>600000</v>
      </c>
      <c r="K31" s="5"/>
      <c r="L31" s="103"/>
    </row>
    <row r="32" spans="1:79" ht="23.25" customHeight="1" x14ac:dyDescent="0.3">
      <c r="A32" s="5">
        <v>14</v>
      </c>
      <c r="B32" s="5" t="s">
        <v>59</v>
      </c>
      <c r="C32" s="5"/>
      <c r="D32" s="5"/>
      <c r="E32" s="5">
        <f>0.025+0.04</f>
        <v>6.5000000000000002E-2</v>
      </c>
      <c r="F32" s="5"/>
      <c r="G32" s="5"/>
      <c r="H32" s="5"/>
      <c r="I32" s="4">
        <v>10000000</v>
      </c>
      <c r="J32" s="7">
        <f t="shared" si="0"/>
        <v>650000</v>
      </c>
      <c r="K32" s="5"/>
      <c r="L32" s="103"/>
    </row>
    <row r="33" spans="1:12" ht="23.25" customHeight="1" x14ac:dyDescent="0.3">
      <c r="A33" s="5">
        <v>15</v>
      </c>
      <c r="B33" s="5" t="s">
        <v>60</v>
      </c>
      <c r="C33" s="5"/>
      <c r="D33" s="5"/>
      <c r="E33" s="5">
        <v>1.4999999999999999E-2</v>
      </c>
      <c r="F33" s="5"/>
      <c r="G33" s="5"/>
      <c r="H33" s="5"/>
      <c r="I33" s="4">
        <v>10000000</v>
      </c>
      <c r="J33" s="7">
        <f t="shared" si="0"/>
        <v>150000</v>
      </c>
      <c r="K33" s="5"/>
      <c r="L33" s="103"/>
    </row>
    <row r="34" spans="1:12" ht="23.25" customHeight="1" x14ac:dyDescent="0.3">
      <c r="A34" s="5">
        <v>16</v>
      </c>
      <c r="B34" s="5" t="s">
        <v>62</v>
      </c>
      <c r="C34" s="5"/>
      <c r="D34" s="5"/>
      <c r="E34" s="5">
        <f>0.03+0.07</f>
        <v>0.1</v>
      </c>
      <c r="F34" s="5"/>
      <c r="G34" s="5"/>
      <c r="H34" s="5"/>
      <c r="I34" s="4">
        <v>10000000</v>
      </c>
      <c r="J34" s="7">
        <f t="shared" si="0"/>
        <v>1000000</v>
      </c>
      <c r="K34" s="5"/>
      <c r="L34" s="103"/>
    </row>
    <row r="35" spans="1:12" ht="23.25" customHeight="1" x14ac:dyDescent="0.3">
      <c r="A35" s="5">
        <v>17</v>
      </c>
      <c r="B35" s="5" t="s">
        <v>63</v>
      </c>
      <c r="C35" s="5"/>
      <c r="D35" s="5"/>
      <c r="E35" s="5">
        <v>0.74</v>
      </c>
      <c r="F35" s="5"/>
      <c r="G35" s="5"/>
      <c r="H35" s="5"/>
      <c r="I35" s="4">
        <v>10000000</v>
      </c>
      <c r="J35" s="7">
        <f t="shared" si="0"/>
        <v>7400000</v>
      </c>
      <c r="K35" s="5"/>
      <c r="L35" s="53"/>
    </row>
    <row r="36" spans="1:12" ht="23.25" customHeight="1" x14ac:dyDescent="0.3">
      <c r="A36" s="5">
        <v>18</v>
      </c>
      <c r="B36" s="5" t="s">
        <v>64</v>
      </c>
      <c r="C36" s="5"/>
      <c r="D36" s="5"/>
      <c r="E36" s="5">
        <v>0.04</v>
      </c>
      <c r="F36" s="5"/>
      <c r="G36" s="5"/>
      <c r="H36" s="5"/>
      <c r="I36" s="4">
        <v>10000000</v>
      </c>
      <c r="J36" s="7">
        <f t="shared" si="0"/>
        <v>400000</v>
      </c>
      <c r="K36" s="5"/>
      <c r="L36" s="53"/>
    </row>
    <row r="37" spans="1:12" ht="23.25" customHeight="1" x14ac:dyDescent="0.3">
      <c r="A37" s="5">
        <v>19</v>
      </c>
      <c r="B37" s="5" t="s">
        <v>65</v>
      </c>
      <c r="C37" s="5"/>
      <c r="D37" s="5"/>
      <c r="E37" s="5"/>
      <c r="F37" s="5"/>
      <c r="G37" s="5"/>
      <c r="H37" s="5">
        <v>0.05</v>
      </c>
      <c r="I37" s="19">
        <v>5000000</v>
      </c>
      <c r="J37" s="7">
        <f t="shared" si="0"/>
        <v>250000</v>
      </c>
      <c r="K37" s="5"/>
    </row>
    <row r="38" spans="1:12" ht="23.25" customHeight="1" x14ac:dyDescent="0.3">
      <c r="A38" s="5">
        <v>20</v>
      </c>
      <c r="B38" s="5" t="s">
        <v>66</v>
      </c>
      <c r="C38" s="5"/>
      <c r="D38" s="5"/>
      <c r="E38" s="5">
        <v>0.14000000000000001</v>
      </c>
      <c r="F38" s="5"/>
      <c r="G38" s="5"/>
      <c r="H38" s="5"/>
      <c r="I38" s="4">
        <v>10000000</v>
      </c>
      <c r="J38" s="7">
        <f t="shared" si="0"/>
        <v>1400000.0000000002</v>
      </c>
      <c r="K38" s="5"/>
    </row>
    <row r="39" spans="1:12" ht="23.25" customHeight="1" x14ac:dyDescent="0.3">
      <c r="A39" s="5">
        <v>21</v>
      </c>
      <c r="B39" s="5" t="s">
        <v>67</v>
      </c>
      <c r="C39" s="5"/>
      <c r="D39" s="5"/>
      <c r="E39" s="77">
        <v>0.24</v>
      </c>
      <c r="F39" s="5"/>
      <c r="G39" s="5"/>
      <c r="H39" s="5"/>
      <c r="I39" s="4">
        <v>10000000</v>
      </c>
      <c r="J39" s="7">
        <f t="shared" si="0"/>
        <v>2400000</v>
      </c>
      <c r="K39" s="5"/>
    </row>
    <row r="40" spans="1:12" ht="23.25" customHeight="1" x14ac:dyDescent="0.3">
      <c r="A40" s="5">
        <v>22</v>
      </c>
      <c r="B40" s="5" t="s">
        <v>69</v>
      </c>
      <c r="C40" s="5"/>
      <c r="D40" s="5"/>
      <c r="E40" s="5">
        <v>0.05</v>
      </c>
      <c r="F40" s="5"/>
      <c r="G40" s="5"/>
      <c r="H40" s="5"/>
      <c r="I40" s="4">
        <v>10000000</v>
      </c>
      <c r="J40" s="7">
        <f t="shared" si="0"/>
        <v>500000</v>
      </c>
      <c r="K40" s="5"/>
    </row>
    <row r="41" spans="1:12" ht="23.25" customHeight="1" x14ac:dyDescent="0.3">
      <c r="A41" s="5">
        <v>23</v>
      </c>
      <c r="B41" s="5" t="s">
        <v>70</v>
      </c>
      <c r="C41" s="5"/>
      <c r="D41" s="5"/>
      <c r="E41" s="5">
        <v>0.03</v>
      </c>
      <c r="F41" s="5"/>
      <c r="G41" s="5"/>
      <c r="H41" s="5"/>
      <c r="I41" s="4">
        <v>10000000</v>
      </c>
      <c r="J41" s="7">
        <f t="shared" si="0"/>
        <v>300000</v>
      </c>
      <c r="K41" s="5"/>
    </row>
    <row r="42" spans="1:12" ht="23.25" customHeight="1" x14ac:dyDescent="0.3">
      <c r="A42" s="5">
        <v>24</v>
      </c>
      <c r="B42" s="5" t="s">
        <v>71</v>
      </c>
      <c r="C42" s="5"/>
      <c r="D42" s="5"/>
      <c r="E42" s="5">
        <v>0.06</v>
      </c>
      <c r="F42" s="5"/>
      <c r="G42" s="5"/>
      <c r="H42" s="5"/>
      <c r="I42" s="4">
        <v>10000000</v>
      </c>
      <c r="J42" s="7">
        <f t="shared" si="0"/>
        <v>600000</v>
      </c>
      <c r="K42" s="5"/>
    </row>
    <row r="43" spans="1:12" ht="23.25" customHeight="1" x14ac:dyDescent="0.3">
      <c r="A43" s="5">
        <v>25</v>
      </c>
      <c r="B43" s="5" t="s">
        <v>111</v>
      </c>
      <c r="C43" s="5"/>
      <c r="D43" s="5"/>
      <c r="E43" s="5">
        <v>0.02</v>
      </c>
      <c r="F43" s="5"/>
      <c r="G43" s="5"/>
      <c r="H43" s="5"/>
      <c r="I43" s="4">
        <v>10000000</v>
      </c>
      <c r="J43" s="7">
        <f t="shared" si="0"/>
        <v>200000</v>
      </c>
      <c r="K43" s="5"/>
    </row>
    <row r="44" spans="1:12" ht="23.25" customHeight="1" x14ac:dyDescent="0.3">
      <c r="A44" s="5">
        <v>26</v>
      </c>
      <c r="B44" s="5" t="s">
        <v>72</v>
      </c>
      <c r="C44" s="5"/>
      <c r="D44" s="5"/>
      <c r="E44" s="5"/>
      <c r="F44" s="5"/>
      <c r="G44" s="5"/>
      <c r="H44" s="5">
        <v>0.04</v>
      </c>
      <c r="I44" s="19">
        <v>5000000</v>
      </c>
      <c r="J44" s="7">
        <f t="shared" ref="J44:J75" si="1">(E44+H44)*I44</f>
        <v>200000</v>
      </c>
      <c r="K44" s="5"/>
    </row>
    <row r="45" spans="1:12" ht="23.25" customHeight="1" x14ac:dyDescent="0.3">
      <c r="A45" s="5">
        <v>27</v>
      </c>
      <c r="B45" s="5" t="s">
        <v>73</v>
      </c>
      <c r="C45" s="5"/>
      <c r="D45" s="5"/>
      <c r="E45" s="5">
        <v>0.06</v>
      </c>
      <c r="F45" s="5"/>
      <c r="G45" s="5"/>
      <c r="H45" s="5"/>
      <c r="I45" s="4">
        <v>10000000</v>
      </c>
      <c r="J45" s="7">
        <f>(E45+H45)*I45</f>
        <v>600000</v>
      </c>
      <c r="K45" s="5"/>
    </row>
    <row r="46" spans="1:12" ht="23.25" customHeight="1" x14ac:dyDescent="0.3">
      <c r="A46" s="5">
        <v>28</v>
      </c>
      <c r="B46" s="5" t="s">
        <v>74</v>
      </c>
      <c r="C46" s="5"/>
      <c r="D46" s="5"/>
      <c r="E46" s="5"/>
      <c r="F46" s="5"/>
      <c r="G46" s="5"/>
      <c r="H46" s="5">
        <f>0.045+0.07</f>
        <v>0.115</v>
      </c>
      <c r="I46" s="19">
        <v>5000000</v>
      </c>
      <c r="J46" s="7">
        <f t="shared" si="1"/>
        <v>575000</v>
      </c>
      <c r="K46" s="5"/>
    </row>
    <row r="47" spans="1:12" ht="23.25" customHeight="1" x14ac:dyDescent="0.3">
      <c r="A47" s="5">
        <v>29</v>
      </c>
      <c r="B47" s="5" t="s">
        <v>75</v>
      </c>
      <c r="C47" s="5"/>
      <c r="D47" s="5"/>
      <c r="E47" s="5">
        <v>0.1</v>
      </c>
      <c r="F47" s="5"/>
      <c r="G47" s="5"/>
      <c r="H47" s="5"/>
      <c r="I47" s="4">
        <v>10000000</v>
      </c>
      <c r="J47" s="7">
        <f t="shared" si="1"/>
        <v>1000000</v>
      </c>
      <c r="K47" s="5"/>
    </row>
    <row r="48" spans="1:12" ht="23.25" customHeight="1" x14ac:dyDescent="0.3">
      <c r="A48" s="5">
        <v>30</v>
      </c>
      <c r="B48" s="5" t="s">
        <v>76</v>
      </c>
      <c r="C48" s="5"/>
      <c r="D48" s="5"/>
      <c r="E48" s="5">
        <v>0.05</v>
      </c>
      <c r="F48" s="5"/>
      <c r="G48" s="5"/>
      <c r="H48" s="5"/>
      <c r="I48" s="4">
        <v>10000000</v>
      </c>
      <c r="J48" s="7">
        <f t="shared" si="1"/>
        <v>500000</v>
      </c>
      <c r="K48" s="5"/>
    </row>
    <row r="49" spans="1:16" ht="23.25" customHeight="1" x14ac:dyDescent="0.3">
      <c r="A49" s="105">
        <v>31</v>
      </c>
      <c r="B49" s="104" t="s">
        <v>77</v>
      </c>
      <c r="C49" s="5"/>
      <c r="D49" s="5"/>
      <c r="E49" s="5">
        <v>0.06</v>
      </c>
      <c r="F49" s="5"/>
      <c r="G49" s="5"/>
      <c r="H49" s="5"/>
      <c r="I49" s="4">
        <v>10000000</v>
      </c>
      <c r="J49" s="7">
        <f t="shared" si="1"/>
        <v>600000</v>
      </c>
      <c r="K49" s="5"/>
    </row>
    <row r="50" spans="1:16" ht="23.25" customHeight="1" x14ac:dyDescent="0.3">
      <c r="A50" s="105"/>
      <c r="B50" s="104"/>
      <c r="C50" s="5"/>
      <c r="D50" s="5"/>
      <c r="E50" s="5"/>
      <c r="F50" s="5"/>
      <c r="G50" s="5"/>
      <c r="H50" s="5">
        <v>2.5000000000000001E-2</v>
      </c>
      <c r="I50" s="19">
        <v>5000000</v>
      </c>
      <c r="J50" s="7">
        <f t="shared" si="1"/>
        <v>125000</v>
      </c>
      <c r="K50" s="5"/>
    </row>
    <row r="51" spans="1:16" ht="23.25" customHeight="1" x14ac:dyDescent="0.3">
      <c r="A51" s="5">
        <v>32</v>
      </c>
      <c r="B51" s="5" t="s">
        <v>78</v>
      </c>
      <c r="C51" s="5"/>
      <c r="D51" s="5"/>
      <c r="E51" s="5">
        <f>0.02+0.015</f>
        <v>3.5000000000000003E-2</v>
      </c>
      <c r="F51" s="5"/>
      <c r="G51" s="5"/>
      <c r="H51" s="5"/>
      <c r="I51" s="4">
        <v>10000000</v>
      </c>
      <c r="J51" s="7">
        <f t="shared" si="1"/>
        <v>350000.00000000006</v>
      </c>
      <c r="K51" s="5"/>
      <c r="N51" s="23">
        <f>600+250</f>
        <v>850</v>
      </c>
      <c r="O51" s="23">
        <f>250/600</f>
        <v>0.41666666666666669</v>
      </c>
    </row>
    <row r="52" spans="1:16" ht="23.25" customHeight="1" x14ac:dyDescent="0.3">
      <c r="A52" s="5">
        <v>33</v>
      </c>
      <c r="B52" s="5" t="s">
        <v>80</v>
      </c>
      <c r="C52" s="5"/>
      <c r="D52" s="5"/>
      <c r="E52" s="5"/>
      <c r="F52" s="5"/>
      <c r="G52" s="5"/>
      <c r="H52" s="5">
        <f>0.05+0.035+0.025</f>
        <v>0.11000000000000001</v>
      </c>
      <c r="I52" s="19">
        <v>5000000</v>
      </c>
      <c r="J52" s="7">
        <f t="shared" si="1"/>
        <v>550000.00000000012</v>
      </c>
      <c r="K52" s="5"/>
    </row>
    <row r="53" spans="1:16" ht="23.25" customHeight="1" x14ac:dyDescent="0.3">
      <c r="A53" s="5">
        <v>34</v>
      </c>
      <c r="B53" s="5" t="s">
        <v>114</v>
      </c>
      <c r="C53" s="5"/>
      <c r="D53" s="5"/>
      <c r="E53" s="55">
        <f>0.037+0.023</f>
        <v>0.06</v>
      </c>
      <c r="F53" s="5"/>
      <c r="G53" s="5"/>
      <c r="H53" s="5"/>
      <c r="I53" s="4">
        <v>10000000</v>
      </c>
      <c r="J53" s="7">
        <f t="shared" si="1"/>
        <v>600000</v>
      </c>
      <c r="K53" s="5"/>
    </row>
    <row r="54" spans="1:16" ht="23.25" customHeight="1" x14ac:dyDescent="0.3">
      <c r="A54" s="105">
        <v>35</v>
      </c>
      <c r="B54" s="105" t="s">
        <v>81</v>
      </c>
      <c r="C54" s="5"/>
      <c r="D54" s="5"/>
      <c r="E54" s="5"/>
      <c r="F54" s="5"/>
      <c r="G54" s="5"/>
      <c r="H54" s="5">
        <f>0.02+0.04</f>
        <v>0.06</v>
      </c>
      <c r="I54" s="19">
        <v>5000000</v>
      </c>
      <c r="J54" s="7">
        <f t="shared" si="1"/>
        <v>300000</v>
      </c>
      <c r="K54" s="5"/>
    </row>
    <row r="55" spans="1:16" ht="23.25" customHeight="1" x14ac:dyDescent="0.3">
      <c r="A55" s="105"/>
      <c r="B55" s="105"/>
      <c r="C55" s="5"/>
      <c r="D55" s="5"/>
      <c r="E55" s="5">
        <v>0.03</v>
      </c>
      <c r="F55" s="5"/>
      <c r="G55" s="5"/>
      <c r="H55" s="5"/>
      <c r="I55" s="4">
        <v>10000000</v>
      </c>
      <c r="J55" s="7">
        <f t="shared" si="1"/>
        <v>300000</v>
      </c>
      <c r="K55" s="5"/>
    </row>
    <row r="56" spans="1:16" ht="23.25" customHeight="1" x14ac:dyDescent="0.3">
      <c r="A56" s="5">
        <v>36</v>
      </c>
      <c r="B56" s="5" t="s">
        <v>82</v>
      </c>
      <c r="C56" s="5"/>
      <c r="D56" s="5"/>
      <c r="E56" s="5"/>
      <c r="F56" s="5"/>
      <c r="G56" s="5"/>
      <c r="H56" s="5">
        <v>9.11E-2</v>
      </c>
      <c r="I56" s="19">
        <v>5000000</v>
      </c>
      <c r="J56" s="7">
        <f t="shared" si="1"/>
        <v>455500</v>
      </c>
      <c r="K56" s="5"/>
    </row>
    <row r="57" spans="1:16" ht="23.25" customHeight="1" x14ac:dyDescent="0.3">
      <c r="A57" s="5">
        <v>37</v>
      </c>
      <c r="B57" s="5" t="s">
        <v>83</v>
      </c>
      <c r="C57" s="5"/>
      <c r="D57" s="5"/>
      <c r="E57" s="5">
        <f>0.08</f>
        <v>0.08</v>
      </c>
      <c r="F57" s="5"/>
      <c r="G57" s="5"/>
      <c r="H57" s="5"/>
      <c r="I57" s="4">
        <v>10000000</v>
      </c>
      <c r="J57" s="7">
        <f t="shared" si="1"/>
        <v>800000</v>
      </c>
      <c r="K57" s="5"/>
    </row>
    <row r="58" spans="1:16" ht="23.25" customHeight="1" x14ac:dyDescent="0.3">
      <c r="A58" s="105">
        <v>38</v>
      </c>
      <c r="B58" s="104" t="s">
        <v>84</v>
      </c>
      <c r="C58" s="5"/>
      <c r="D58" s="5"/>
      <c r="E58" s="5">
        <v>2.5000000000000001E-3</v>
      </c>
      <c r="F58" s="5"/>
      <c r="G58" s="5"/>
      <c r="H58" s="5"/>
      <c r="I58" s="4">
        <v>10000000</v>
      </c>
      <c r="J58" s="7">
        <f t="shared" si="1"/>
        <v>25000</v>
      </c>
      <c r="K58" s="5"/>
    </row>
    <row r="59" spans="1:16" ht="23.25" customHeight="1" x14ac:dyDescent="0.3">
      <c r="A59" s="105"/>
      <c r="B59" s="104"/>
      <c r="C59" s="5"/>
      <c r="D59" s="5"/>
      <c r="E59" s="5"/>
      <c r="F59" s="5"/>
      <c r="G59" s="5"/>
      <c r="H59" s="5">
        <v>0.13</v>
      </c>
      <c r="I59" s="19">
        <v>5000000</v>
      </c>
      <c r="J59" s="7">
        <f t="shared" si="1"/>
        <v>650000</v>
      </c>
      <c r="K59" s="5"/>
    </row>
    <row r="60" spans="1:16" ht="23.25" customHeight="1" x14ac:dyDescent="0.3">
      <c r="A60" s="5">
        <v>39</v>
      </c>
      <c r="B60" s="5" t="s">
        <v>85</v>
      </c>
      <c r="C60" s="5"/>
      <c r="D60" s="5"/>
      <c r="E60" s="5"/>
      <c r="F60" s="5"/>
      <c r="G60" s="5"/>
      <c r="H60" s="5">
        <f>0.06+0.12</f>
        <v>0.18</v>
      </c>
      <c r="I60" s="19">
        <v>5000000</v>
      </c>
      <c r="J60" s="7">
        <f t="shared" si="1"/>
        <v>900000</v>
      </c>
      <c r="K60" s="5"/>
    </row>
    <row r="61" spans="1:16" ht="23.25" customHeight="1" x14ac:dyDescent="0.3">
      <c r="A61" s="5">
        <v>40</v>
      </c>
      <c r="B61" s="5" t="s">
        <v>86</v>
      </c>
      <c r="C61" s="5"/>
      <c r="D61" s="5"/>
      <c r="E61" s="5"/>
      <c r="F61" s="5"/>
      <c r="G61" s="5"/>
      <c r="H61" s="5">
        <v>0.1</v>
      </c>
      <c r="I61" s="19">
        <v>5000000</v>
      </c>
      <c r="J61" s="7">
        <f t="shared" si="1"/>
        <v>500000</v>
      </c>
      <c r="K61" s="5"/>
      <c r="P61" s="23">
        <f>600/1100</f>
        <v>0.54545454545454541</v>
      </c>
    </row>
    <row r="62" spans="1:16" ht="23.25" customHeight="1" x14ac:dyDescent="0.3">
      <c r="A62" s="5">
        <v>41</v>
      </c>
      <c r="B62" s="5" t="s">
        <v>87</v>
      </c>
      <c r="C62" s="5"/>
      <c r="D62" s="5"/>
      <c r="E62" s="5"/>
      <c r="F62" s="5"/>
      <c r="G62" s="5"/>
      <c r="H62" s="5">
        <v>2.5000000000000001E-2</v>
      </c>
      <c r="I62" s="19">
        <v>5000000</v>
      </c>
      <c r="J62" s="7">
        <f t="shared" si="1"/>
        <v>125000</v>
      </c>
      <c r="K62" s="5"/>
    </row>
    <row r="63" spans="1:16" ht="23.25" customHeight="1" x14ac:dyDescent="0.3">
      <c r="A63" s="5">
        <v>42</v>
      </c>
      <c r="B63" s="5" t="s">
        <v>88</v>
      </c>
      <c r="C63" s="5"/>
      <c r="D63" s="5"/>
      <c r="E63" s="5"/>
      <c r="F63" s="5"/>
      <c r="G63" s="5"/>
      <c r="H63" s="5">
        <v>5.4999999999999997E-3</v>
      </c>
      <c r="I63" s="19">
        <v>5000000</v>
      </c>
      <c r="J63" s="7">
        <f t="shared" si="1"/>
        <v>27500</v>
      </c>
      <c r="K63" s="5"/>
      <c r="M63" s="23" t="s">
        <v>115</v>
      </c>
      <c r="P63" s="23">
        <f>250/720</f>
        <v>0.34722222222222221</v>
      </c>
    </row>
    <row r="64" spans="1:16" ht="23.25" customHeight="1" x14ac:dyDescent="0.3">
      <c r="A64" s="5">
        <v>43</v>
      </c>
      <c r="B64" s="5" t="s">
        <v>117</v>
      </c>
      <c r="C64" s="5"/>
      <c r="D64" s="5"/>
      <c r="E64" s="5"/>
      <c r="F64" s="5"/>
      <c r="G64" s="5"/>
      <c r="H64" s="5">
        <v>2.2499999999999999E-2</v>
      </c>
      <c r="I64" s="19">
        <v>5000000</v>
      </c>
      <c r="J64" s="7">
        <f t="shared" si="1"/>
        <v>112500</v>
      </c>
      <c r="K64" s="5"/>
    </row>
    <row r="65" spans="1:79" ht="23.25" customHeight="1" x14ac:dyDescent="0.3">
      <c r="A65" s="5">
        <v>44</v>
      </c>
      <c r="B65" s="5" t="s">
        <v>90</v>
      </c>
      <c r="C65" s="5"/>
      <c r="D65" s="5"/>
      <c r="E65" s="5">
        <f>0.024+0.01</f>
        <v>3.4000000000000002E-2</v>
      </c>
      <c r="F65" s="5"/>
      <c r="G65" s="5"/>
      <c r="H65" s="5"/>
      <c r="I65" s="4">
        <v>10000000</v>
      </c>
      <c r="J65" s="7">
        <f t="shared" si="1"/>
        <v>340000</v>
      </c>
      <c r="K65" s="5"/>
    </row>
    <row r="66" spans="1:79" ht="23.25" customHeight="1" x14ac:dyDescent="0.3">
      <c r="A66" s="5">
        <v>45</v>
      </c>
      <c r="B66" s="5" t="s">
        <v>91</v>
      </c>
      <c r="C66" s="5"/>
      <c r="D66" s="5"/>
      <c r="E66" s="5">
        <v>7.0000000000000007E-2</v>
      </c>
      <c r="F66" s="5"/>
      <c r="G66" s="5"/>
      <c r="H66" s="5"/>
      <c r="I66" s="4">
        <v>10000000</v>
      </c>
      <c r="J66" s="7">
        <f t="shared" si="1"/>
        <v>700000.00000000012</v>
      </c>
      <c r="K66" s="5"/>
    </row>
    <row r="67" spans="1:79" ht="23.25" customHeight="1" x14ac:dyDescent="0.3">
      <c r="A67" s="5">
        <v>46</v>
      </c>
      <c r="B67" s="5" t="s">
        <v>92</v>
      </c>
      <c r="C67" s="5"/>
      <c r="D67" s="5"/>
      <c r="E67" s="5">
        <f>0.06</f>
        <v>0.06</v>
      </c>
      <c r="F67" s="5"/>
      <c r="G67" s="5"/>
      <c r="H67" s="5"/>
      <c r="I67" s="4">
        <v>10000000</v>
      </c>
      <c r="J67" s="7">
        <f t="shared" si="1"/>
        <v>600000</v>
      </c>
      <c r="K67" s="5"/>
    </row>
    <row r="68" spans="1:79" ht="23.25" customHeight="1" x14ac:dyDescent="0.3">
      <c r="A68" s="5">
        <v>47</v>
      </c>
      <c r="B68" s="5" t="s">
        <v>94</v>
      </c>
      <c r="C68" s="5"/>
      <c r="D68" s="5"/>
      <c r="E68" s="5">
        <v>0.04</v>
      </c>
      <c r="F68" s="5"/>
      <c r="G68" s="5"/>
      <c r="H68" s="5"/>
      <c r="I68" s="4">
        <v>10000000</v>
      </c>
      <c r="J68" s="7">
        <f t="shared" si="1"/>
        <v>400000</v>
      </c>
      <c r="K68" s="5"/>
    </row>
    <row r="69" spans="1:79" ht="23.25" customHeight="1" x14ac:dyDescent="0.3">
      <c r="A69" s="5">
        <v>48</v>
      </c>
      <c r="B69" s="5" t="s">
        <v>95</v>
      </c>
      <c r="C69" s="5"/>
      <c r="D69" s="5"/>
      <c r="E69" s="5">
        <v>0.08</v>
      </c>
      <c r="F69" s="5"/>
      <c r="G69" s="5"/>
      <c r="H69" s="5"/>
      <c r="I69" s="4">
        <v>10000000</v>
      </c>
      <c r="J69" s="7">
        <f t="shared" si="1"/>
        <v>800000</v>
      </c>
      <c r="K69" s="5"/>
      <c r="O69" s="23">
        <f>0.024/0.03</f>
        <v>0.8</v>
      </c>
    </row>
    <row r="70" spans="1:79" ht="23.25" customHeight="1" x14ac:dyDescent="0.3">
      <c r="A70" s="5">
        <v>49</v>
      </c>
      <c r="B70" s="5" t="s">
        <v>96</v>
      </c>
      <c r="C70" s="5"/>
      <c r="D70" s="5"/>
      <c r="E70" s="5">
        <v>0.1</v>
      </c>
      <c r="F70" s="5"/>
      <c r="G70" s="5"/>
      <c r="H70" s="5"/>
      <c r="I70" s="4">
        <v>10000000</v>
      </c>
      <c r="J70" s="7">
        <f t="shared" si="1"/>
        <v>1000000</v>
      </c>
      <c r="K70" s="5"/>
    </row>
    <row r="71" spans="1:79" ht="23.25" customHeight="1" x14ac:dyDescent="0.3">
      <c r="A71" s="5">
        <v>50</v>
      </c>
      <c r="B71" s="5" t="s">
        <v>97</v>
      </c>
      <c r="C71" s="5"/>
      <c r="D71" s="5"/>
      <c r="E71" s="5">
        <v>0.08</v>
      </c>
      <c r="F71" s="5"/>
      <c r="G71" s="5"/>
      <c r="H71" s="5"/>
      <c r="I71" s="4">
        <v>10000000</v>
      </c>
      <c r="J71" s="7">
        <f t="shared" si="1"/>
        <v>800000</v>
      </c>
      <c r="K71" s="5"/>
    </row>
    <row r="72" spans="1:79" ht="23.25" customHeight="1" x14ac:dyDescent="0.3">
      <c r="A72" s="5">
        <v>51</v>
      </c>
      <c r="B72" s="5" t="s">
        <v>98</v>
      </c>
      <c r="C72" s="5"/>
      <c r="D72" s="5"/>
      <c r="E72" s="5">
        <f>0.05+0.0023+0.08+0.01</f>
        <v>0.14230000000000001</v>
      </c>
      <c r="F72" s="5"/>
      <c r="G72" s="5"/>
      <c r="H72" s="5"/>
      <c r="I72" s="4">
        <v>10000000</v>
      </c>
      <c r="J72" s="7">
        <f t="shared" si="1"/>
        <v>1423000</v>
      </c>
      <c r="K72" s="5"/>
    </row>
    <row r="73" spans="1:79" ht="23.25" customHeight="1" x14ac:dyDescent="0.3">
      <c r="A73" s="5">
        <v>52</v>
      </c>
      <c r="B73" s="5" t="s">
        <v>99</v>
      </c>
      <c r="C73" s="5"/>
      <c r="D73" s="5"/>
      <c r="E73" s="5">
        <v>7.0000000000000007E-2</v>
      </c>
      <c r="F73" s="5"/>
      <c r="G73" s="5"/>
      <c r="H73" s="5"/>
      <c r="I73" s="4">
        <v>10000000</v>
      </c>
      <c r="J73" s="7">
        <f t="shared" si="1"/>
        <v>700000.00000000012</v>
      </c>
      <c r="K73" s="5"/>
      <c r="P73" s="52">
        <v>45842</v>
      </c>
    </row>
    <row r="74" spans="1:79" ht="23.25" customHeight="1" x14ac:dyDescent="0.3">
      <c r="A74" s="5">
        <v>53</v>
      </c>
      <c r="B74" s="5" t="s">
        <v>100</v>
      </c>
      <c r="C74" s="5"/>
      <c r="D74" s="5"/>
      <c r="E74" s="5"/>
      <c r="F74" s="5"/>
      <c r="G74" s="5"/>
      <c r="H74" s="5">
        <v>0.04</v>
      </c>
      <c r="I74" s="19">
        <v>5000000</v>
      </c>
      <c r="J74" s="7">
        <f t="shared" si="1"/>
        <v>200000</v>
      </c>
      <c r="K74" s="5"/>
      <c r="M74" s="23" t="s">
        <v>116</v>
      </c>
      <c r="P74" s="23">
        <f>400/700</f>
        <v>0.5714285714285714</v>
      </c>
    </row>
    <row r="75" spans="1:79" ht="23.25" customHeight="1" x14ac:dyDescent="0.3">
      <c r="A75" s="5">
        <v>54</v>
      </c>
      <c r="B75" s="5" t="s">
        <v>101</v>
      </c>
      <c r="C75" s="5"/>
      <c r="D75" s="5"/>
      <c r="E75" s="5"/>
      <c r="F75" s="5"/>
      <c r="G75" s="5"/>
      <c r="H75" s="5">
        <v>3.5000000000000003E-2</v>
      </c>
      <c r="I75" s="19">
        <v>5000000</v>
      </c>
      <c r="J75" s="7">
        <f t="shared" si="1"/>
        <v>175000.00000000003</v>
      </c>
      <c r="K75" s="5"/>
    </row>
    <row r="76" spans="1:79" s="60" customFormat="1" x14ac:dyDescent="0.3">
      <c r="A76" s="58"/>
      <c r="B76" s="58" t="s">
        <v>118</v>
      </c>
      <c r="C76" s="123">
        <f>SUM(C9:C75)</f>
        <v>0</v>
      </c>
      <c r="D76" s="123">
        <f t="shared" ref="D76:H76" si="2">SUM(D9:D75)</f>
        <v>9.8000000000000004E-2</v>
      </c>
      <c r="E76" s="123">
        <f t="shared" si="2"/>
        <v>3.8738000000000001</v>
      </c>
      <c r="F76" s="123">
        <f t="shared" si="2"/>
        <v>0</v>
      </c>
      <c r="G76" s="123">
        <f t="shared" si="2"/>
        <v>7.0000000000000007E-2</v>
      </c>
      <c r="H76" s="123">
        <f t="shared" si="2"/>
        <v>1.0490999999999999</v>
      </c>
      <c r="I76" s="61"/>
      <c r="J76" s="61">
        <f>SUM(J10:J75)</f>
        <v>45047500</v>
      </c>
      <c r="K76" s="58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</row>
    <row r="77" spans="1:79" x14ac:dyDescent="0.3">
      <c r="A77" s="17"/>
      <c r="B77" s="17" t="s">
        <v>122</v>
      </c>
      <c r="C77" s="124">
        <f>C76+D76+E76+G76+H76+F76</f>
        <v>5.0909000000000004</v>
      </c>
      <c r="D77" s="125"/>
      <c r="E77" s="125"/>
      <c r="F77" s="125"/>
      <c r="G77" s="125"/>
      <c r="H77" s="126"/>
      <c r="I77" s="17"/>
      <c r="J77" s="57"/>
      <c r="K77" s="17"/>
    </row>
    <row r="80" spans="1:79" x14ac:dyDescent="0.3">
      <c r="E80" s="26"/>
    </row>
  </sheetData>
  <mergeCells count="21"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  <mergeCell ref="A49:A50"/>
    <mergeCell ref="B54:B55"/>
    <mergeCell ref="A54:A55"/>
    <mergeCell ref="B58:B59"/>
    <mergeCell ref="A58:A59"/>
    <mergeCell ref="C77:H77"/>
    <mergeCell ref="L27:L28"/>
    <mergeCell ref="L31:L32"/>
    <mergeCell ref="L33:L34"/>
    <mergeCell ref="B49:B50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zoomScale="71" zoomScaleNormal="71" workbookViewId="0">
      <pane xSplit="12" topLeftCell="M1" activePane="topRight" state="frozen"/>
      <selection activeCell="A7" sqref="A7"/>
      <selection pane="topRight" activeCell="C20" sqref="C20:I21"/>
    </sheetView>
  </sheetViews>
  <sheetFormatPr defaultRowHeight="18.75" x14ac:dyDescent="0.3"/>
  <cols>
    <col min="1" max="1" width="5.5" style="67" customWidth="1"/>
    <col min="2" max="2" width="29" style="3" customWidth="1"/>
    <col min="3" max="3" width="10.625" style="3" customWidth="1"/>
    <col min="4" max="4" width="17" style="3" customWidth="1"/>
    <col min="5" max="5" width="22.75" style="3" customWidth="1"/>
    <col min="6" max="6" width="1.875" style="3" hidden="1" customWidth="1"/>
    <col min="7" max="7" width="9.625" style="3" customWidth="1"/>
    <col min="8" max="8" width="16.5" style="3" customWidth="1"/>
    <col min="9" max="9" width="22" style="3" customWidth="1"/>
    <col min="10" max="10" width="18.5" style="3" hidden="1" customWidth="1"/>
    <col min="11" max="11" width="26.25" style="18" customWidth="1"/>
    <col min="12" max="12" width="21.625" style="3" customWidth="1"/>
    <col min="13" max="16384" width="9" style="3"/>
  </cols>
  <sheetData>
    <row r="1" spans="1:12" ht="29.25" customHeight="1" x14ac:dyDescent="0.3">
      <c r="A1" s="106" t="s">
        <v>147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9.5" customHeight="1" x14ac:dyDescent="0.3">
      <c r="A2" s="110" t="str">
        <f>Lua!A2</f>
        <v>(Kèm theo Thông báo  số 79/TB-UBND ngày 10/11/2025 của UBND xã Tân Kỳ)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3.25" customHeight="1" x14ac:dyDescent="0.3">
      <c r="A3" s="111" t="s">
        <v>13</v>
      </c>
      <c r="B3" s="111" t="s">
        <v>109</v>
      </c>
      <c r="C3" s="111" t="s">
        <v>14</v>
      </c>
      <c r="D3" s="111"/>
      <c r="E3" s="111"/>
      <c r="F3" s="111"/>
      <c r="G3" s="111" t="s">
        <v>15</v>
      </c>
      <c r="H3" s="111"/>
      <c r="I3" s="111"/>
      <c r="J3" s="111"/>
      <c r="K3" s="112" t="s">
        <v>29</v>
      </c>
      <c r="L3" s="113" t="s">
        <v>30</v>
      </c>
    </row>
    <row r="4" spans="1:12" x14ac:dyDescent="0.3">
      <c r="A4" s="111"/>
      <c r="B4" s="111"/>
      <c r="C4" s="111" t="s">
        <v>36</v>
      </c>
      <c r="D4" s="111"/>
      <c r="E4" s="111"/>
      <c r="F4" s="111"/>
      <c r="G4" s="111" t="s">
        <v>36</v>
      </c>
      <c r="H4" s="111"/>
      <c r="I4" s="111"/>
      <c r="J4" s="111"/>
      <c r="K4" s="112"/>
      <c r="L4" s="113"/>
    </row>
    <row r="5" spans="1:12" ht="135" customHeight="1" x14ac:dyDescent="0.3">
      <c r="A5" s="111"/>
      <c r="B5" s="111"/>
      <c r="C5" s="30" t="s">
        <v>38</v>
      </c>
      <c r="D5" s="30" t="s">
        <v>39</v>
      </c>
      <c r="E5" s="30" t="s">
        <v>124</v>
      </c>
      <c r="F5" s="30" t="s">
        <v>40</v>
      </c>
      <c r="G5" s="30" t="s">
        <v>37</v>
      </c>
      <c r="H5" s="30" t="s">
        <v>41</v>
      </c>
      <c r="I5" s="30" t="s">
        <v>124</v>
      </c>
      <c r="J5" s="30" t="s">
        <v>40</v>
      </c>
      <c r="K5" s="112"/>
      <c r="L5" s="113"/>
    </row>
    <row r="6" spans="1:12" ht="25.5" customHeight="1" x14ac:dyDescent="0.3">
      <c r="A6" s="13"/>
      <c r="B6" s="13"/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32" t="s">
        <v>32</v>
      </c>
      <c r="L6" s="33" t="s">
        <v>33</v>
      </c>
    </row>
    <row r="7" spans="1:12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</row>
    <row r="8" spans="1:12" x14ac:dyDescent="0.3">
      <c r="A8" s="64"/>
      <c r="B8" s="65" t="s">
        <v>46</v>
      </c>
      <c r="C8" s="5"/>
      <c r="D8" s="5"/>
      <c r="E8" s="5"/>
      <c r="F8" s="5"/>
      <c r="G8" s="5"/>
      <c r="H8" s="5"/>
      <c r="I8" s="5"/>
      <c r="J8" s="5"/>
      <c r="K8" s="19"/>
      <c r="L8" s="7">
        <f t="shared" ref="L8:L19" si="0">(C8+D8+E8+G8+H8+I8)*K8</f>
        <v>0</v>
      </c>
    </row>
    <row r="9" spans="1:12" x14ac:dyDescent="0.3">
      <c r="A9" s="64"/>
      <c r="B9" s="87" t="s">
        <v>128</v>
      </c>
      <c r="C9" s="5"/>
      <c r="D9" s="5"/>
      <c r="E9" s="5"/>
      <c r="F9" s="5"/>
      <c r="G9" s="5"/>
      <c r="H9" s="5"/>
      <c r="I9" s="5"/>
      <c r="J9" s="5"/>
      <c r="K9" s="19"/>
      <c r="L9" s="7"/>
    </row>
    <row r="10" spans="1:12" x14ac:dyDescent="0.3">
      <c r="A10" s="74">
        <v>1</v>
      </c>
      <c r="B10" s="88" t="s">
        <v>83</v>
      </c>
      <c r="C10" s="89">
        <f>0.0001*70</f>
        <v>7.0000000000000001E-3</v>
      </c>
      <c r="D10" s="89"/>
      <c r="E10" s="89"/>
      <c r="F10" s="89"/>
      <c r="G10" s="89"/>
      <c r="H10" s="89"/>
      <c r="I10" s="89"/>
      <c r="J10" s="89"/>
      <c r="K10" s="90">
        <v>12000000</v>
      </c>
      <c r="L10" s="91">
        <f>K10*C10</f>
        <v>84000</v>
      </c>
    </row>
    <row r="11" spans="1:12" x14ac:dyDescent="0.3">
      <c r="A11" s="74">
        <v>2</v>
      </c>
      <c r="B11" s="88" t="s">
        <v>137</v>
      </c>
      <c r="C11" s="89">
        <f>0.0001*300</f>
        <v>3.0000000000000002E-2</v>
      </c>
      <c r="D11" s="88"/>
      <c r="E11" s="88"/>
      <c r="F11" s="88"/>
      <c r="G11" s="88"/>
      <c r="H11" s="88"/>
      <c r="I11" s="88"/>
      <c r="J11" s="88"/>
      <c r="K11" s="90">
        <v>12000000</v>
      </c>
      <c r="L11" s="91">
        <f>K11*C11</f>
        <v>360000</v>
      </c>
    </row>
    <row r="12" spans="1:12" x14ac:dyDescent="0.3">
      <c r="A12" s="74">
        <v>3</v>
      </c>
      <c r="B12" s="5" t="s">
        <v>55</v>
      </c>
      <c r="C12" s="74">
        <v>0.01</v>
      </c>
      <c r="D12" s="5"/>
      <c r="E12" s="5"/>
      <c r="F12" s="5"/>
      <c r="G12" s="5"/>
      <c r="H12" s="5"/>
      <c r="I12" s="5"/>
      <c r="J12" s="5"/>
      <c r="K12" s="4">
        <v>12000000</v>
      </c>
      <c r="L12" s="19">
        <f>K12*C12</f>
        <v>120000</v>
      </c>
    </row>
    <row r="13" spans="1:12" x14ac:dyDescent="0.3">
      <c r="A13" s="64"/>
      <c r="B13" s="87" t="s">
        <v>136</v>
      </c>
      <c r="C13" s="5"/>
      <c r="D13" s="5"/>
      <c r="E13" s="5"/>
      <c r="F13" s="5"/>
      <c r="G13" s="5"/>
      <c r="H13" s="5"/>
      <c r="I13" s="5"/>
      <c r="J13" s="5"/>
      <c r="K13" s="19"/>
      <c r="L13" s="7"/>
    </row>
    <row r="14" spans="1:12" x14ac:dyDescent="0.3">
      <c r="A14" s="50">
        <v>1</v>
      </c>
      <c r="B14" s="66" t="s">
        <v>51</v>
      </c>
      <c r="C14" s="5">
        <v>0.02</v>
      </c>
      <c r="D14" s="5"/>
      <c r="E14" s="5"/>
      <c r="F14" s="5"/>
      <c r="G14" s="5"/>
      <c r="H14" s="5"/>
      <c r="I14" s="5"/>
      <c r="J14" s="5"/>
      <c r="K14" s="19">
        <v>12000000</v>
      </c>
      <c r="L14" s="7">
        <f t="shared" si="0"/>
        <v>240000</v>
      </c>
    </row>
    <row r="15" spans="1:12" x14ac:dyDescent="0.3">
      <c r="A15" s="50">
        <v>2</v>
      </c>
      <c r="B15" s="66" t="s">
        <v>75</v>
      </c>
      <c r="C15" s="5"/>
      <c r="D15" s="5"/>
      <c r="E15" s="5">
        <v>0.01</v>
      </c>
      <c r="F15" s="5"/>
      <c r="G15" s="5"/>
      <c r="H15" s="5"/>
      <c r="I15" s="5"/>
      <c r="J15" s="5"/>
      <c r="K15" s="19">
        <v>30000000</v>
      </c>
      <c r="L15" s="7">
        <f t="shared" si="0"/>
        <v>300000</v>
      </c>
    </row>
    <row r="16" spans="1:12" x14ac:dyDescent="0.3">
      <c r="A16" s="50">
        <v>3</v>
      </c>
      <c r="B16" s="66" t="s">
        <v>83</v>
      </c>
      <c r="C16" s="5"/>
      <c r="D16" s="5"/>
      <c r="E16" s="5">
        <v>0.03</v>
      </c>
      <c r="F16" s="5"/>
      <c r="G16" s="5"/>
      <c r="H16" s="5"/>
      <c r="I16" s="5"/>
      <c r="J16" s="5"/>
      <c r="K16" s="19">
        <v>30000000</v>
      </c>
      <c r="L16" s="7">
        <f t="shared" si="0"/>
        <v>900000</v>
      </c>
    </row>
    <row r="17" spans="1:12" x14ac:dyDescent="0.3">
      <c r="A17" s="50">
        <v>4</v>
      </c>
      <c r="B17" s="66" t="s">
        <v>100</v>
      </c>
      <c r="C17" s="5"/>
      <c r="D17" s="5"/>
      <c r="E17" s="5">
        <v>0.2</v>
      </c>
      <c r="F17" s="5"/>
      <c r="G17" s="5"/>
      <c r="H17" s="5"/>
      <c r="I17" s="5"/>
      <c r="J17" s="5"/>
      <c r="K17" s="19">
        <v>30000000</v>
      </c>
      <c r="L17" s="7">
        <f t="shared" si="0"/>
        <v>6000000</v>
      </c>
    </row>
    <row r="18" spans="1:12" x14ac:dyDescent="0.3">
      <c r="A18" s="50">
        <v>5</v>
      </c>
      <c r="B18" s="66" t="s">
        <v>102</v>
      </c>
      <c r="C18" s="5"/>
      <c r="D18" s="5"/>
      <c r="E18" s="5">
        <v>0.2</v>
      </c>
      <c r="F18" s="5"/>
      <c r="G18" s="5"/>
      <c r="H18" s="5"/>
      <c r="I18" s="5"/>
      <c r="J18" s="5"/>
      <c r="K18" s="19">
        <v>30000000</v>
      </c>
      <c r="L18" s="7">
        <f t="shared" si="0"/>
        <v>6000000</v>
      </c>
    </row>
    <row r="19" spans="1:12" x14ac:dyDescent="0.3">
      <c r="A19" s="81">
        <v>6</v>
      </c>
      <c r="B19" s="82" t="s">
        <v>127</v>
      </c>
      <c r="C19" s="77"/>
      <c r="D19" s="77">
        <v>0.27529999999999999</v>
      </c>
      <c r="E19" s="77"/>
      <c r="F19" s="77"/>
      <c r="G19" s="77"/>
      <c r="H19" s="77"/>
      <c r="I19" s="79"/>
      <c r="J19" s="83"/>
      <c r="K19" s="84">
        <v>20000000</v>
      </c>
      <c r="L19" s="7">
        <f t="shared" si="0"/>
        <v>5506000</v>
      </c>
    </row>
    <row r="20" spans="1:12" s="56" customFormat="1" x14ac:dyDescent="0.3">
      <c r="A20" s="64"/>
      <c r="B20" s="17" t="s">
        <v>118</v>
      </c>
      <c r="C20" s="119">
        <f>SUM(C8:C19)</f>
        <v>6.7000000000000004E-2</v>
      </c>
      <c r="D20" s="119">
        <f t="shared" ref="D20:I20" si="1">SUM(D8:D19)</f>
        <v>0.27529999999999999</v>
      </c>
      <c r="E20" s="119">
        <f t="shared" si="1"/>
        <v>0.44000000000000006</v>
      </c>
      <c r="F20" s="119">
        <f t="shared" si="1"/>
        <v>0</v>
      </c>
      <c r="G20" s="119">
        <f t="shared" si="1"/>
        <v>0</v>
      </c>
      <c r="H20" s="119">
        <f t="shared" si="1"/>
        <v>0</v>
      </c>
      <c r="I20" s="119">
        <f t="shared" si="1"/>
        <v>0</v>
      </c>
      <c r="J20" s="17">
        <f t="shared" ref="J20" si="2">SUM(J8:J18)</f>
        <v>0</v>
      </c>
      <c r="K20" s="57"/>
      <c r="L20" s="57">
        <f>SUM(L8:L19)</f>
        <v>19510000</v>
      </c>
    </row>
    <row r="21" spans="1:12" x14ac:dyDescent="0.3">
      <c r="A21" s="50"/>
      <c r="B21" s="17" t="s">
        <v>123</v>
      </c>
      <c r="C21" s="120">
        <f>C20+D20+E20+G20+H20+I20</f>
        <v>0.7823</v>
      </c>
      <c r="D21" s="121"/>
      <c r="E21" s="121"/>
      <c r="F21" s="121"/>
      <c r="G21" s="121"/>
      <c r="H21" s="121"/>
      <c r="I21" s="122"/>
      <c r="J21" s="5"/>
      <c r="K21" s="19"/>
      <c r="L21" s="5"/>
    </row>
    <row r="24" spans="1:12" x14ac:dyDescent="0.3">
      <c r="L24" s="26"/>
    </row>
    <row r="25" spans="1:12" x14ac:dyDescent="0.3">
      <c r="L25" s="26"/>
    </row>
    <row r="26" spans="1:12" x14ac:dyDescent="0.3">
      <c r="L26" s="26"/>
    </row>
    <row r="27" spans="1:12" x14ac:dyDescent="0.3">
      <c r="L27" s="26"/>
    </row>
    <row r="34" spans="12:12" x14ac:dyDescent="0.3">
      <c r="L34" s="26"/>
    </row>
    <row r="35" spans="12:12" x14ac:dyDescent="0.3">
      <c r="L35" s="26"/>
    </row>
    <row r="36" spans="12:12" x14ac:dyDescent="0.3">
      <c r="L36" s="26"/>
    </row>
    <row r="37" spans="12:12" x14ac:dyDescent="0.3">
      <c r="L37" s="26"/>
    </row>
    <row r="38" spans="12:12" x14ac:dyDescent="0.3">
      <c r="L38" s="26"/>
    </row>
    <row r="39" spans="12:12" x14ac:dyDescent="0.3">
      <c r="L39" s="26"/>
    </row>
    <row r="40" spans="12:12" x14ac:dyDescent="0.3">
      <c r="L40" s="26"/>
    </row>
    <row r="42" spans="12:12" x14ac:dyDescent="0.3">
      <c r="L42" s="26"/>
    </row>
  </sheetData>
  <mergeCells count="11">
    <mergeCell ref="C21:I21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opLeftCell="A22" zoomScale="77" zoomScaleNormal="77" workbookViewId="0">
      <selection activeCell="C29" sqref="C29:H30"/>
    </sheetView>
  </sheetViews>
  <sheetFormatPr defaultRowHeight="18.75" x14ac:dyDescent="0.3"/>
  <cols>
    <col min="1" max="1" width="4.625" style="3" customWidth="1"/>
    <col min="2" max="2" width="31.125" style="3" customWidth="1"/>
    <col min="3" max="3" width="21.625" style="3" customWidth="1"/>
    <col min="4" max="5" width="16.875" style="3" customWidth="1"/>
    <col min="6" max="6" width="19.5" style="3" customWidth="1"/>
    <col min="7" max="7" width="19.125" style="3" customWidth="1"/>
    <col min="8" max="8" width="15.5" style="3" customWidth="1"/>
    <col min="9" max="9" width="17" style="26" customWidth="1"/>
    <col min="10" max="10" width="18.25" style="3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2"/>
  </cols>
  <sheetData>
    <row r="1" spans="1:48" x14ac:dyDescent="0.3">
      <c r="A1" s="106" t="s">
        <v>148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48" ht="21" customHeight="1" x14ac:dyDescent="0.3">
      <c r="A2" s="110" t="str">
        <f>'cay lao nam'!A2:L2</f>
        <v>(Kèm theo Thông báo  số 79/TB-UBND ngày 10/11/2025 của UBND xã Tân Kỳ)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48" ht="19.5" customHeight="1" x14ac:dyDescent="0.3">
      <c r="A3" s="97" t="s">
        <v>13</v>
      </c>
      <c r="B3" s="97" t="s">
        <v>109</v>
      </c>
      <c r="C3" s="97" t="s">
        <v>14</v>
      </c>
      <c r="D3" s="97"/>
      <c r="E3" s="97"/>
      <c r="F3" s="97" t="s">
        <v>15</v>
      </c>
      <c r="G3" s="97"/>
      <c r="H3" s="97"/>
      <c r="I3" s="109" t="s">
        <v>34</v>
      </c>
      <c r="J3" s="97" t="s">
        <v>30</v>
      </c>
      <c r="K3" s="12"/>
      <c r="L3" s="12"/>
      <c r="M3" s="12"/>
      <c r="N3" s="12"/>
      <c r="O3" s="12"/>
    </row>
    <row r="4" spans="1:48" ht="15.75" customHeight="1" x14ac:dyDescent="0.3">
      <c r="A4" s="97"/>
      <c r="B4" s="97"/>
      <c r="C4" s="97" t="s">
        <v>17</v>
      </c>
      <c r="D4" s="97"/>
      <c r="E4" s="97"/>
      <c r="F4" s="97" t="s">
        <v>17</v>
      </c>
      <c r="G4" s="97"/>
      <c r="H4" s="97"/>
      <c r="I4" s="109"/>
      <c r="J4" s="97"/>
      <c r="K4" s="12"/>
      <c r="L4" s="12"/>
      <c r="M4" s="12"/>
      <c r="N4" s="12"/>
      <c r="O4" s="12"/>
    </row>
    <row r="5" spans="1:48" ht="79.5" customHeight="1" x14ac:dyDescent="0.3">
      <c r="A5" s="97"/>
      <c r="B5" s="97"/>
      <c r="C5" s="21" t="s">
        <v>21</v>
      </c>
      <c r="D5" s="21" t="s">
        <v>22</v>
      </c>
      <c r="E5" s="21" t="s">
        <v>23</v>
      </c>
      <c r="F5" s="21" t="s">
        <v>21</v>
      </c>
      <c r="G5" s="21" t="s">
        <v>27</v>
      </c>
      <c r="H5" s="21" t="s">
        <v>28</v>
      </c>
      <c r="I5" s="109"/>
      <c r="J5" s="97"/>
      <c r="K5" s="12"/>
      <c r="L5" s="12"/>
      <c r="M5" s="12"/>
      <c r="N5" s="12"/>
      <c r="O5" s="12"/>
    </row>
    <row r="6" spans="1:48" s="69" customFormat="1" ht="19.5" customHeight="1" x14ac:dyDescent="0.3">
      <c r="A6" s="22"/>
      <c r="B6" s="22"/>
      <c r="C6" s="22" t="s">
        <v>8</v>
      </c>
      <c r="D6" s="22" t="s">
        <v>8</v>
      </c>
      <c r="E6" s="22" t="s">
        <v>8</v>
      </c>
      <c r="F6" s="22" t="s">
        <v>8</v>
      </c>
      <c r="G6" s="22" t="s">
        <v>8</v>
      </c>
      <c r="H6" s="22" t="s">
        <v>8</v>
      </c>
      <c r="I6" s="33" t="s">
        <v>43</v>
      </c>
      <c r="J6" s="22" t="s">
        <v>44</v>
      </c>
      <c r="K6" s="68"/>
      <c r="L6" s="68"/>
      <c r="M6" s="68"/>
      <c r="N6" s="68"/>
      <c r="O6" s="68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</row>
    <row r="7" spans="1:48" ht="14.25" customHeight="1" x14ac:dyDescent="0.3">
      <c r="A7" s="13"/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  <c r="H7" s="22">
        <v>7</v>
      </c>
      <c r="I7" s="33">
        <v>8</v>
      </c>
      <c r="J7" s="22">
        <v>9</v>
      </c>
      <c r="K7" s="12"/>
      <c r="L7" s="12"/>
      <c r="M7" s="12"/>
      <c r="N7" s="12"/>
      <c r="O7" s="12"/>
    </row>
    <row r="8" spans="1:48" x14ac:dyDescent="0.3">
      <c r="A8" s="64"/>
      <c r="B8" s="65" t="s">
        <v>46</v>
      </c>
      <c r="C8" s="5"/>
      <c r="D8" s="5"/>
      <c r="E8" s="5"/>
      <c r="F8" s="5"/>
      <c r="G8" s="5"/>
      <c r="H8" s="5"/>
      <c r="I8" s="4"/>
      <c r="J8" s="7">
        <f t="shared" ref="J8:J28" si="0">(C8+D8+E8+F8+G8+H8)*I8</f>
        <v>0</v>
      </c>
      <c r="O8" s="3" t="s">
        <v>104</v>
      </c>
    </row>
    <row r="9" spans="1:48" x14ac:dyDescent="0.3">
      <c r="A9" s="64"/>
      <c r="B9" s="85" t="s">
        <v>128</v>
      </c>
      <c r="C9" s="5"/>
      <c r="D9" s="5"/>
      <c r="E9" s="5"/>
      <c r="F9" s="5"/>
      <c r="G9" s="5"/>
      <c r="H9" s="5"/>
      <c r="I9" s="4"/>
      <c r="J9" s="7"/>
    </row>
    <row r="10" spans="1:48" x14ac:dyDescent="0.3">
      <c r="A10" s="5">
        <v>1</v>
      </c>
      <c r="B10" s="93" t="s">
        <v>47</v>
      </c>
      <c r="C10" s="5">
        <f>0.0001*600</f>
        <v>6.0000000000000005E-2</v>
      </c>
      <c r="D10" s="5"/>
      <c r="E10" s="5"/>
      <c r="F10" s="5"/>
      <c r="G10" s="5"/>
      <c r="H10" s="5"/>
      <c r="I10" s="4">
        <v>6000000</v>
      </c>
      <c r="J10" s="7">
        <f>C10*I10</f>
        <v>360000</v>
      </c>
    </row>
    <row r="11" spans="1:48" x14ac:dyDescent="0.3">
      <c r="A11" s="5">
        <v>2</v>
      </c>
      <c r="B11" s="93" t="s">
        <v>133</v>
      </c>
      <c r="C11" s="15">
        <f>0.0001*100</f>
        <v>0.01</v>
      </c>
      <c r="D11" s="5"/>
      <c r="E11" s="5"/>
      <c r="F11" s="5"/>
      <c r="G11" s="5"/>
      <c r="H11" s="5"/>
      <c r="I11" s="4">
        <v>6000000</v>
      </c>
      <c r="J11" s="7">
        <f t="shared" ref="J11:J15" si="1">C11*I11</f>
        <v>60000</v>
      </c>
    </row>
    <row r="12" spans="1:48" x14ac:dyDescent="0.3">
      <c r="A12" s="5">
        <v>3</v>
      </c>
      <c r="B12" s="5" t="s">
        <v>57</v>
      </c>
      <c r="C12" s="15">
        <f>0.0001*200</f>
        <v>0.02</v>
      </c>
      <c r="D12" s="5"/>
      <c r="E12" s="5"/>
      <c r="F12" s="5"/>
      <c r="G12" s="5"/>
      <c r="H12" s="5"/>
      <c r="I12" s="4">
        <v>6000000</v>
      </c>
      <c r="J12" s="7">
        <f t="shared" si="1"/>
        <v>120000</v>
      </c>
    </row>
    <row r="13" spans="1:48" x14ac:dyDescent="0.3">
      <c r="A13" s="5">
        <v>4</v>
      </c>
      <c r="B13" s="5" t="s">
        <v>59</v>
      </c>
      <c r="C13" s="15">
        <f>0.0001*100</f>
        <v>0.01</v>
      </c>
      <c r="D13" s="5"/>
      <c r="E13" s="5"/>
      <c r="F13" s="5"/>
      <c r="G13" s="5"/>
      <c r="H13" s="5"/>
      <c r="I13" s="4">
        <v>6000000</v>
      </c>
      <c r="J13" s="7">
        <f t="shared" si="1"/>
        <v>60000</v>
      </c>
    </row>
    <row r="14" spans="1:48" x14ac:dyDescent="0.3">
      <c r="A14" s="5">
        <v>5</v>
      </c>
      <c r="B14" s="5" t="s">
        <v>134</v>
      </c>
      <c r="C14" s="15">
        <f>0.0001*200</f>
        <v>0.02</v>
      </c>
      <c r="D14" s="5"/>
      <c r="E14" s="5"/>
      <c r="F14" s="5"/>
      <c r="G14" s="5"/>
      <c r="H14" s="5"/>
      <c r="I14" s="4">
        <v>6000000</v>
      </c>
      <c r="J14" s="7">
        <f t="shared" si="1"/>
        <v>120000</v>
      </c>
    </row>
    <row r="15" spans="1:48" x14ac:dyDescent="0.3">
      <c r="A15" s="5">
        <v>6</v>
      </c>
      <c r="B15" s="93" t="s">
        <v>54</v>
      </c>
      <c r="C15" s="5">
        <f>(200)*0.0001</f>
        <v>0.02</v>
      </c>
      <c r="D15" s="5"/>
      <c r="E15" s="5"/>
      <c r="F15" s="5"/>
      <c r="G15" s="5"/>
      <c r="H15" s="5"/>
      <c r="I15" s="4">
        <v>6000000</v>
      </c>
      <c r="J15" s="7">
        <f t="shared" si="1"/>
        <v>120000</v>
      </c>
    </row>
    <row r="16" spans="1:48" x14ac:dyDescent="0.3">
      <c r="A16" s="5">
        <v>7</v>
      </c>
      <c r="B16" s="5" t="s">
        <v>74</v>
      </c>
      <c r="C16" s="5"/>
      <c r="D16" s="5"/>
      <c r="E16" s="5"/>
      <c r="F16" s="5">
        <f>0.0001*200</f>
        <v>0.02</v>
      </c>
      <c r="G16" s="5"/>
      <c r="H16" s="5"/>
      <c r="I16" s="4">
        <v>3000000</v>
      </c>
      <c r="J16" s="7">
        <f>I16*F16</f>
        <v>60000</v>
      </c>
    </row>
    <row r="17" spans="1:48" x14ac:dyDescent="0.3">
      <c r="A17" s="5">
        <v>8</v>
      </c>
      <c r="B17" s="5" t="s">
        <v>135</v>
      </c>
      <c r="C17" s="5"/>
      <c r="D17" s="5"/>
      <c r="E17" s="5"/>
      <c r="F17" s="5">
        <f>0.0001*100</f>
        <v>0.01</v>
      </c>
      <c r="G17" s="5"/>
      <c r="H17" s="5"/>
      <c r="I17" s="4">
        <v>3000000</v>
      </c>
      <c r="J17" s="7">
        <f>I17*F17</f>
        <v>30000</v>
      </c>
    </row>
    <row r="18" spans="1:48" x14ac:dyDescent="0.3">
      <c r="A18" s="5">
        <v>9</v>
      </c>
      <c r="B18" s="93" t="s">
        <v>83</v>
      </c>
      <c r="C18" s="5">
        <f>(250)*0.0001</f>
        <v>2.5000000000000001E-2</v>
      </c>
      <c r="D18" s="5"/>
      <c r="E18" s="5"/>
      <c r="F18" s="5"/>
      <c r="G18" s="5"/>
      <c r="H18" s="5"/>
      <c r="I18" s="19">
        <v>6000000</v>
      </c>
      <c r="J18" s="19">
        <f>I18*C18</f>
        <v>150000</v>
      </c>
    </row>
    <row r="19" spans="1:48" x14ac:dyDescent="0.3">
      <c r="A19" s="64"/>
      <c r="B19" s="85" t="s">
        <v>129</v>
      </c>
      <c r="C19" s="5"/>
      <c r="D19" s="5"/>
      <c r="E19" s="5"/>
      <c r="F19" s="5"/>
      <c r="G19" s="5"/>
      <c r="H19" s="5"/>
      <c r="I19" s="4"/>
      <c r="J19" s="7"/>
    </row>
    <row r="20" spans="1:48" s="24" customFormat="1" x14ac:dyDescent="0.3">
      <c r="A20" s="50">
        <v>1</v>
      </c>
      <c r="B20" s="66" t="s">
        <v>61</v>
      </c>
      <c r="C20" s="5">
        <v>0.06</v>
      </c>
      <c r="D20" s="5"/>
      <c r="E20" s="5"/>
      <c r="F20" s="5"/>
      <c r="G20" s="5"/>
      <c r="H20" s="5"/>
      <c r="I20" s="4">
        <v>6000000</v>
      </c>
      <c r="J20" s="7">
        <f t="shared" si="0"/>
        <v>360000</v>
      </c>
      <c r="K20" s="3"/>
      <c r="L20" s="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24" customFormat="1" x14ac:dyDescent="0.3">
      <c r="A21" s="50">
        <v>2</v>
      </c>
      <c r="B21" s="66" t="s">
        <v>68</v>
      </c>
      <c r="C21" s="5"/>
      <c r="D21" s="5">
        <v>0.03</v>
      </c>
      <c r="E21" s="5"/>
      <c r="F21" s="5"/>
      <c r="G21" s="5"/>
      <c r="H21" s="5"/>
      <c r="I21" s="4">
        <v>10000000</v>
      </c>
      <c r="J21" s="7">
        <f t="shared" si="0"/>
        <v>300000</v>
      </c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24" customFormat="1" x14ac:dyDescent="0.3">
      <c r="A22" s="50">
        <v>3</v>
      </c>
      <c r="B22" s="66" t="s">
        <v>112</v>
      </c>
      <c r="C22" s="5"/>
      <c r="D22" s="5">
        <v>4.4999999999999998E-2</v>
      </c>
      <c r="E22" s="5"/>
      <c r="F22" s="5"/>
      <c r="G22" s="5"/>
      <c r="H22" s="5"/>
      <c r="I22" s="4">
        <v>10000000</v>
      </c>
      <c r="J22" s="7">
        <f t="shared" si="0"/>
        <v>450000</v>
      </c>
      <c r="K22" s="3"/>
      <c r="L22" s="5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4" customFormat="1" x14ac:dyDescent="0.3">
      <c r="A23" s="50">
        <v>4</v>
      </c>
      <c r="B23" s="66" t="s">
        <v>79</v>
      </c>
      <c r="C23" s="5"/>
      <c r="D23" s="5">
        <f>0.1</f>
        <v>0.1</v>
      </c>
      <c r="E23" s="5"/>
      <c r="F23" s="5"/>
      <c r="G23" s="5"/>
      <c r="H23" s="5"/>
      <c r="I23" s="4">
        <v>10000000</v>
      </c>
      <c r="J23" s="7">
        <f t="shared" si="0"/>
        <v>1000000</v>
      </c>
      <c r="K23" s="3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s="24" customFormat="1" x14ac:dyDescent="0.3">
      <c r="A24" s="50">
        <v>5</v>
      </c>
      <c r="B24" s="66" t="s">
        <v>80</v>
      </c>
      <c r="C24" s="5"/>
      <c r="D24" s="5">
        <v>0.08</v>
      </c>
      <c r="E24" s="5"/>
      <c r="F24" s="5"/>
      <c r="G24" s="5"/>
      <c r="H24" s="5"/>
      <c r="I24" s="4">
        <v>10000000</v>
      </c>
      <c r="J24" s="7">
        <f t="shared" si="0"/>
        <v>800000</v>
      </c>
      <c r="K24" s="3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s="24" customFormat="1" x14ac:dyDescent="0.3">
      <c r="A25" s="105">
        <v>6</v>
      </c>
      <c r="B25" s="114" t="s">
        <v>89</v>
      </c>
      <c r="C25" s="5"/>
      <c r="D25" s="5">
        <v>0.04</v>
      </c>
      <c r="E25" s="5"/>
      <c r="F25" s="5"/>
      <c r="G25" s="5"/>
      <c r="H25" s="5"/>
      <c r="I25" s="4">
        <v>10000000</v>
      </c>
      <c r="J25" s="7">
        <f t="shared" si="0"/>
        <v>400000</v>
      </c>
      <c r="K25" s="3"/>
      <c r="L25" s="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24" customFormat="1" x14ac:dyDescent="0.3">
      <c r="A26" s="105"/>
      <c r="B26" s="114"/>
      <c r="C26" s="5"/>
      <c r="D26" s="5"/>
      <c r="E26" s="5"/>
      <c r="F26" s="5"/>
      <c r="G26" s="5">
        <v>5.0000000000000001E-3</v>
      </c>
      <c r="H26" s="5"/>
      <c r="I26" s="4">
        <v>5000000</v>
      </c>
      <c r="J26" s="7">
        <f t="shared" si="0"/>
        <v>25000</v>
      </c>
      <c r="K26" s="3"/>
      <c r="L26" s="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s="24" customFormat="1" x14ac:dyDescent="0.3">
      <c r="A27" s="50">
        <v>7</v>
      </c>
      <c r="B27" s="66" t="s">
        <v>91</v>
      </c>
      <c r="C27" s="5"/>
      <c r="D27" s="5">
        <v>0.03</v>
      </c>
      <c r="E27" s="5"/>
      <c r="F27" s="5"/>
      <c r="G27" s="5"/>
      <c r="H27" s="5"/>
      <c r="I27" s="4">
        <v>10000000</v>
      </c>
      <c r="J27" s="7">
        <f t="shared" si="0"/>
        <v>300000</v>
      </c>
      <c r="K27" s="3"/>
      <c r="L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s="24" customFormat="1" x14ac:dyDescent="0.3">
      <c r="A28" s="50">
        <v>8</v>
      </c>
      <c r="B28" s="66" t="s">
        <v>93</v>
      </c>
      <c r="C28" s="5"/>
      <c r="D28" s="5">
        <v>0.1</v>
      </c>
      <c r="E28" s="5"/>
      <c r="F28" s="5"/>
      <c r="G28" s="5"/>
      <c r="H28" s="5"/>
      <c r="I28" s="4">
        <v>10000000</v>
      </c>
      <c r="J28" s="7">
        <f t="shared" si="0"/>
        <v>1000000</v>
      </c>
      <c r="K28" s="3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s="20" customFormat="1" x14ac:dyDescent="0.3">
      <c r="A29" s="17"/>
      <c r="B29" s="17" t="s">
        <v>118</v>
      </c>
      <c r="C29" s="117">
        <f>SUM(C10:C28)</f>
        <v>0.22500000000000001</v>
      </c>
      <c r="D29" s="117">
        <f t="shared" ref="D29:G29" si="2">SUM(D10:D28)</f>
        <v>0.42499999999999993</v>
      </c>
      <c r="E29" s="117">
        <f t="shared" si="2"/>
        <v>0</v>
      </c>
      <c r="F29" s="117">
        <f t="shared" si="2"/>
        <v>0.03</v>
      </c>
      <c r="G29" s="117">
        <f t="shared" si="2"/>
        <v>5.0000000000000001E-3</v>
      </c>
      <c r="H29" s="117">
        <f>SUM(H8:H28)</f>
        <v>0</v>
      </c>
      <c r="I29" s="57"/>
      <c r="J29" s="57">
        <f>SUM(J10:J28)</f>
        <v>5715000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</row>
    <row r="30" spans="1:48" s="20" customFormat="1" x14ac:dyDescent="0.3">
      <c r="A30" s="17"/>
      <c r="B30" s="17" t="s">
        <v>125</v>
      </c>
      <c r="C30" s="118">
        <f>C29+D29+E29+F29+G29+H29</f>
        <v>0.68499999999999994</v>
      </c>
      <c r="D30" s="118"/>
      <c r="E30" s="118"/>
      <c r="F30" s="118"/>
      <c r="G30" s="118"/>
      <c r="H30" s="118"/>
      <c r="I30" s="57"/>
      <c r="J30" s="17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</row>
    <row r="33" spans="10:10" x14ac:dyDescent="0.3">
      <c r="J33" s="26"/>
    </row>
    <row r="34" spans="10:10" x14ac:dyDescent="0.3">
      <c r="J34" s="26"/>
    </row>
    <row r="35" spans="10:10" x14ac:dyDescent="0.3">
      <c r="J35" s="26"/>
    </row>
    <row r="36" spans="10:10" x14ac:dyDescent="0.3">
      <c r="J36" s="26"/>
    </row>
    <row r="37" spans="10:10" x14ac:dyDescent="0.3">
      <c r="J37" s="26"/>
    </row>
    <row r="44" spans="10:10" x14ac:dyDescent="0.3">
      <c r="J44" s="26" t="e">
        <f>C29*#REF!</f>
        <v>#REF!</v>
      </c>
    </row>
    <row r="45" spans="10:10" x14ac:dyDescent="0.3">
      <c r="J45" s="26" t="e">
        <f>D29*#REF!</f>
        <v>#REF!</v>
      </c>
    </row>
    <row r="46" spans="10:10" x14ac:dyDescent="0.3">
      <c r="J46" s="26" t="e">
        <f>E29*#REF!</f>
        <v>#REF!</v>
      </c>
    </row>
    <row r="47" spans="10:10" x14ac:dyDescent="0.3">
      <c r="J47" s="26" t="e">
        <f>G29*#REF!</f>
        <v>#REF!</v>
      </c>
    </row>
    <row r="48" spans="10:10" x14ac:dyDescent="0.3">
      <c r="J48" s="26" t="e">
        <f>H29*#REF!</f>
        <v>#REF!</v>
      </c>
    </row>
    <row r="49" spans="10:10" x14ac:dyDescent="0.3">
      <c r="J49" s="26" t="e">
        <f>SUM(J44:J48)</f>
        <v>#REF!</v>
      </c>
    </row>
  </sheetData>
  <mergeCells count="13">
    <mergeCell ref="A2:J2"/>
    <mergeCell ref="C30:H30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B25:B26"/>
    <mergeCell ref="A25:A26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ySplit="6" topLeftCell="A36" activePane="bottomLeft" state="frozen"/>
      <selection pane="bottomLeft" activeCell="F37" sqref="F37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94" t="s">
        <v>149</v>
      </c>
      <c r="B2" s="94"/>
      <c r="C2" s="94"/>
      <c r="D2" s="94"/>
      <c r="E2" s="94"/>
      <c r="F2" s="94"/>
      <c r="G2" s="94"/>
      <c r="H2" s="94"/>
      <c r="I2" s="94"/>
    </row>
    <row r="3" spans="1:12" x14ac:dyDescent="0.25">
      <c r="A3" s="115" t="str">
        <f>'Hang nam'!A2:J2</f>
        <v>(Kèm theo Thông báo  số 79/TB-UBND ngày 10/11/2025 của UBND xã Tân Kỳ)</v>
      </c>
      <c r="B3" s="115"/>
      <c r="C3" s="115"/>
      <c r="D3" s="115"/>
      <c r="E3" s="115"/>
      <c r="F3" s="115"/>
      <c r="G3" s="115"/>
      <c r="H3" s="115"/>
      <c r="I3" s="115"/>
    </row>
    <row r="4" spans="1:12" ht="52.5" customHeight="1" x14ac:dyDescent="0.25">
      <c r="A4" s="97" t="s">
        <v>0</v>
      </c>
      <c r="B4" s="97" t="s">
        <v>42</v>
      </c>
      <c r="C4" s="97" t="s">
        <v>1</v>
      </c>
      <c r="D4" s="97" t="s">
        <v>9</v>
      </c>
      <c r="E4" s="97" t="s">
        <v>10</v>
      </c>
      <c r="F4" s="97" t="s">
        <v>11</v>
      </c>
      <c r="G4" s="97" t="s">
        <v>35</v>
      </c>
      <c r="H4" s="97" t="s">
        <v>30</v>
      </c>
      <c r="I4" s="97" t="s">
        <v>31</v>
      </c>
      <c r="J4" s="10"/>
      <c r="L4" s="10"/>
    </row>
    <row r="5" spans="1:12" ht="30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10"/>
      <c r="K5" s="10"/>
      <c r="L5" s="10"/>
    </row>
    <row r="6" spans="1:12" ht="33" customHeight="1" x14ac:dyDescent="0.25">
      <c r="A6" s="97"/>
      <c r="B6" s="97"/>
      <c r="C6" s="48" t="s">
        <v>7</v>
      </c>
      <c r="D6" s="48" t="s">
        <v>12</v>
      </c>
      <c r="E6" s="48" t="s">
        <v>113</v>
      </c>
      <c r="F6" s="48" t="s">
        <v>12</v>
      </c>
      <c r="G6" s="48" t="s">
        <v>32</v>
      </c>
      <c r="H6" s="48" t="s">
        <v>33</v>
      </c>
      <c r="I6" s="8"/>
      <c r="J6" s="10"/>
      <c r="K6" s="70"/>
      <c r="L6" s="10"/>
    </row>
    <row r="7" spans="1:12" x14ac:dyDescent="0.25">
      <c r="A7" s="8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I7" s="48">
        <v>8</v>
      </c>
      <c r="J7" s="10"/>
      <c r="K7" s="10"/>
      <c r="L7" s="10"/>
    </row>
    <row r="8" spans="1:12" s="10" customFormat="1" x14ac:dyDescent="0.25">
      <c r="A8" s="8"/>
      <c r="B8" s="21"/>
      <c r="C8" s="8"/>
      <c r="D8" s="8"/>
      <c r="E8" s="8"/>
      <c r="F8" s="8"/>
      <c r="G8" s="8"/>
      <c r="H8" s="8"/>
      <c r="I8" s="8"/>
    </row>
    <row r="9" spans="1:12" s="3" customFormat="1" ht="21" customHeight="1" x14ac:dyDescent="0.3">
      <c r="A9" s="31"/>
      <c r="B9" s="17" t="s">
        <v>46</v>
      </c>
      <c r="C9" s="13"/>
      <c r="D9" s="13"/>
      <c r="E9" s="13"/>
      <c r="F9" s="13"/>
      <c r="G9" s="4"/>
      <c r="H9" s="14">
        <f t="shared" ref="H9:H35" si="0">G9*F9</f>
        <v>0</v>
      </c>
      <c r="I9" s="13"/>
      <c r="J9" s="26"/>
    </row>
    <row r="10" spans="1:12" s="3" customFormat="1" ht="21" customHeight="1" x14ac:dyDescent="0.3">
      <c r="A10" s="76"/>
      <c r="B10" s="87" t="s">
        <v>128</v>
      </c>
      <c r="C10" s="13"/>
      <c r="D10" s="13"/>
      <c r="E10" s="13"/>
      <c r="F10" s="13"/>
      <c r="G10" s="4"/>
      <c r="H10" s="14"/>
      <c r="I10" s="13"/>
      <c r="J10" s="26"/>
    </row>
    <row r="11" spans="1:12" s="3" customFormat="1" ht="21" customHeight="1" x14ac:dyDescent="0.3">
      <c r="A11" s="13">
        <v>1</v>
      </c>
      <c r="B11" s="5" t="s">
        <v>47</v>
      </c>
      <c r="C11" s="13"/>
      <c r="D11" s="13"/>
      <c r="E11" s="13"/>
      <c r="F11" s="13">
        <v>0.3</v>
      </c>
      <c r="G11" s="4">
        <v>15000000</v>
      </c>
      <c r="H11" s="14">
        <f>G11*F11</f>
        <v>4500000</v>
      </c>
      <c r="I11" s="72"/>
      <c r="J11" s="26"/>
    </row>
    <row r="12" spans="1:12" s="3" customFormat="1" ht="21" customHeight="1" x14ac:dyDescent="0.3">
      <c r="A12" s="13">
        <v>2</v>
      </c>
      <c r="B12" s="5" t="s">
        <v>130</v>
      </c>
      <c r="C12" s="13"/>
      <c r="D12" s="13"/>
      <c r="E12" s="13"/>
      <c r="F12" s="13">
        <f>0.0001*510</f>
        <v>5.1000000000000004E-2</v>
      </c>
      <c r="G12" s="4">
        <v>15000000</v>
      </c>
      <c r="H12" s="14">
        <f>G12*F12</f>
        <v>765000</v>
      </c>
      <c r="I12" s="72"/>
      <c r="J12" s="26"/>
    </row>
    <row r="13" spans="1:12" s="3" customFormat="1" ht="21" customHeight="1" x14ac:dyDescent="0.3">
      <c r="A13" s="13">
        <v>3</v>
      </c>
      <c r="B13" s="5" t="s">
        <v>139</v>
      </c>
      <c r="C13" s="13"/>
      <c r="D13" s="13"/>
      <c r="E13" s="13"/>
      <c r="F13" s="13">
        <f>0.0001*400</f>
        <v>0.04</v>
      </c>
      <c r="G13" s="4">
        <v>15000000</v>
      </c>
      <c r="H13" s="14">
        <f t="shared" ref="H13:H14" si="1">G13*F13</f>
        <v>600000</v>
      </c>
      <c r="I13" s="72"/>
      <c r="J13" s="26"/>
    </row>
    <row r="14" spans="1:12" s="3" customFormat="1" ht="21" customHeight="1" x14ac:dyDescent="0.3">
      <c r="A14" s="13">
        <v>4</v>
      </c>
      <c r="B14" s="5" t="s">
        <v>68</v>
      </c>
      <c r="C14" s="13"/>
      <c r="D14" s="13"/>
      <c r="E14" s="13"/>
      <c r="F14" s="13">
        <f>0.0001*(700+400+2000)</f>
        <v>0.31</v>
      </c>
      <c r="G14" s="4">
        <v>15000000</v>
      </c>
      <c r="H14" s="14">
        <f t="shared" si="1"/>
        <v>4650000</v>
      </c>
      <c r="I14" s="72" t="s">
        <v>140</v>
      </c>
      <c r="J14" s="26"/>
    </row>
    <row r="15" spans="1:12" s="3" customFormat="1" ht="21" customHeight="1" x14ac:dyDescent="0.3">
      <c r="A15" s="13">
        <v>5</v>
      </c>
      <c r="B15" s="5" t="s">
        <v>88</v>
      </c>
      <c r="C15" s="13"/>
      <c r="D15" s="13"/>
      <c r="E15" s="13"/>
      <c r="F15" s="13">
        <f>0.0001*400</f>
        <v>0.04</v>
      </c>
      <c r="G15" s="4">
        <v>15000000</v>
      </c>
      <c r="H15" s="14">
        <f>G15*F15</f>
        <v>600000</v>
      </c>
      <c r="I15" s="72"/>
      <c r="J15" s="26"/>
    </row>
    <row r="16" spans="1:12" s="3" customFormat="1" ht="21" customHeight="1" x14ac:dyDescent="0.3">
      <c r="A16" s="13">
        <v>6</v>
      </c>
      <c r="B16" s="5" t="s">
        <v>141</v>
      </c>
      <c r="C16" s="13"/>
      <c r="D16" s="13"/>
      <c r="E16" s="13"/>
      <c r="F16" s="13">
        <f>0.0001*2000</f>
        <v>0.2</v>
      </c>
      <c r="G16" s="4">
        <v>15000000</v>
      </c>
      <c r="H16" s="14">
        <f t="shared" ref="H16:H26" si="2">G16*F16</f>
        <v>3000000</v>
      </c>
      <c r="I16" s="72"/>
      <c r="J16" s="26"/>
    </row>
    <row r="17" spans="1:13" s="3" customFormat="1" ht="21" customHeight="1" x14ac:dyDescent="0.3">
      <c r="A17" s="13">
        <v>7</v>
      </c>
      <c r="B17" s="5" t="s">
        <v>63</v>
      </c>
      <c r="C17" s="13"/>
      <c r="D17" s="13"/>
      <c r="E17" s="13"/>
      <c r="F17" s="13">
        <f>0.0001*200</f>
        <v>0.02</v>
      </c>
      <c r="G17" s="4">
        <v>15000000</v>
      </c>
      <c r="H17" s="14">
        <f t="shared" si="2"/>
        <v>300000</v>
      </c>
      <c r="I17" s="72"/>
      <c r="J17" s="26"/>
    </row>
    <row r="18" spans="1:13" s="3" customFormat="1" ht="21" customHeight="1" x14ac:dyDescent="0.3">
      <c r="A18" s="13">
        <v>8</v>
      </c>
      <c r="B18" s="5" t="s">
        <v>69</v>
      </c>
      <c r="C18" s="13"/>
      <c r="D18" s="13"/>
      <c r="E18" s="13"/>
      <c r="F18" s="13">
        <f>0.0001*5000</f>
        <v>0.5</v>
      </c>
      <c r="G18" s="4">
        <v>15000000</v>
      </c>
      <c r="H18" s="14">
        <f t="shared" si="2"/>
        <v>7500000</v>
      </c>
      <c r="I18" s="72"/>
      <c r="J18" s="26"/>
    </row>
    <row r="19" spans="1:13" s="3" customFormat="1" ht="21" customHeight="1" x14ac:dyDescent="0.3">
      <c r="A19" s="13">
        <v>9</v>
      </c>
      <c r="B19" s="5" t="s">
        <v>50</v>
      </c>
      <c r="C19" s="13"/>
      <c r="D19" s="13"/>
      <c r="E19" s="13"/>
      <c r="F19" s="36">
        <f>0.0001*(2200+800)</f>
        <v>0.3</v>
      </c>
      <c r="G19" s="4">
        <v>15000000</v>
      </c>
      <c r="H19" s="14">
        <f t="shared" si="2"/>
        <v>4500000</v>
      </c>
      <c r="I19" s="72"/>
      <c r="J19" s="26"/>
    </row>
    <row r="20" spans="1:13" s="3" customFormat="1" ht="21" customHeight="1" x14ac:dyDescent="0.3">
      <c r="A20" s="13">
        <v>10</v>
      </c>
      <c r="B20" s="5" t="s">
        <v>48</v>
      </c>
      <c r="C20" s="13"/>
      <c r="D20" s="13"/>
      <c r="E20" s="13"/>
      <c r="F20" s="15">
        <f>0.0001*(800)</f>
        <v>0.08</v>
      </c>
      <c r="G20" s="4">
        <v>15000000</v>
      </c>
      <c r="H20" s="14">
        <f t="shared" si="2"/>
        <v>1200000</v>
      </c>
      <c r="I20" s="72"/>
      <c r="J20" s="26"/>
    </row>
    <row r="21" spans="1:13" s="3" customFormat="1" ht="21" customHeight="1" x14ac:dyDescent="0.3">
      <c r="A21" s="13">
        <v>11</v>
      </c>
      <c r="B21" s="5" t="s">
        <v>142</v>
      </c>
      <c r="C21" s="13"/>
      <c r="D21" s="13"/>
      <c r="E21" s="13"/>
      <c r="F21" s="15">
        <f>0.0001*(1000)</f>
        <v>0.1</v>
      </c>
      <c r="G21" s="4">
        <v>15000000</v>
      </c>
      <c r="H21" s="14">
        <f t="shared" si="2"/>
        <v>1500000</v>
      </c>
      <c r="I21" s="72"/>
      <c r="J21" s="26"/>
    </row>
    <row r="22" spans="1:13" s="3" customFormat="1" ht="21" customHeight="1" x14ac:dyDescent="0.3">
      <c r="A22" s="13">
        <v>12</v>
      </c>
      <c r="B22" s="5" t="s">
        <v>100</v>
      </c>
      <c r="C22" s="13"/>
      <c r="D22" s="13"/>
      <c r="E22" s="13"/>
      <c r="F22" s="15">
        <v>0.04</v>
      </c>
      <c r="G22" s="4">
        <v>15000000</v>
      </c>
      <c r="H22" s="14">
        <f t="shared" si="2"/>
        <v>600000</v>
      </c>
      <c r="I22" s="72"/>
      <c r="J22" s="26"/>
    </row>
    <row r="23" spans="1:13" s="3" customFormat="1" ht="21" customHeight="1" x14ac:dyDescent="0.3">
      <c r="A23" s="13">
        <v>13</v>
      </c>
      <c r="B23" s="5" t="s">
        <v>62</v>
      </c>
      <c r="C23" s="13"/>
      <c r="D23" s="13"/>
      <c r="E23" s="13"/>
      <c r="F23" s="15">
        <f>0.0001*(800+200)</f>
        <v>0.1</v>
      </c>
      <c r="G23" s="4">
        <v>15000000</v>
      </c>
      <c r="H23" s="14">
        <f t="shared" si="2"/>
        <v>1500000</v>
      </c>
      <c r="I23" s="72"/>
      <c r="J23" s="26"/>
    </row>
    <row r="24" spans="1:13" s="3" customFormat="1" ht="21" customHeight="1" x14ac:dyDescent="0.3">
      <c r="A24" s="13">
        <v>14</v>
      </c>
      <c r="B24" s="5" t="s">
        <v>143</v>
      </c>
      <c r="C24" s="13"/>
      <c r="D24" s="13"/>
      <c r="E24" s="13"/>
      <c r="F24" s="15">
        <f>0.0001*(800)</f>
        <v>0.08</v>
      </c>
      <c r="G24" s="4">
        <v>15000000</v>
      </c>
      <c r="H24" s="14">
        <f t="shared" si="2"/>
        <v>1200000</v>
      </c>
      <c r="I24" s="72"/>
      <c r="J24" s="26"/>
    </row>
    <row r="25" spans="1:13" s="3" customFormat="1" ht="21" customHeight="1" x14ac:dyDescent="0.3">
      <c r="A25" s="13">
        <v>15</v>
      </c>
      <c r="B25" s="5" t="s">
        <v>132</v>
      </c>
      <c r="C25" s="13"/>
      <c r="D25" s="13"/>
      <c r="E25" s="13"/>
      <c r="F25" s="15">
        <f>0.0001*(300)</f>
        <v>3.0000000000000002E-2</v>
      </c>
      <c r="G25" s="4">
        <v>15000000</v>
      </c>
      <c r="H25" s="14">
        <f t="shared" si="2"/>
        <v>450000.00000000006</v>
      </c>
      <c r="I25" s="72"/>
      <c r="J25" s="26"/>
    </row>
    <row r="26" spans="1:13" s="3" customFormat="1" ht="21" customHeight="1" x14ac:dyDescent="0.3">
      <c r="A26" s="13">
        <v>16</v>
      </c>
      <c r="B26" s="5" t="s">
        <v>144</v>
      </c>
      <c r="C26" s="13"/>
      <c r="D26" s="13"/>
      <c r="E26" s="13"/>
      <c r="F26" s="15">
        <f>0.0001*(400)</f>
        <v>0.04</v>
      </c>
      <c r="G26" s="4">
        <v>15000000</v>
      </c>
      <c r="H26" s="14">
        <f t="shared" si="2"/>
        <v>600000</v>
      </c>
      <c r="I26" s="72"/>
      <c r="J26" s="26"/>
    </row>
    <row r="27" spans="1:13" s="3" customFormat="1" ht="21" customHeight="1" x14ac:dyDescent="0.3">
      <c r="A27" s="76"/>
      <c r="B27" s="87" t="s">
        <v>136</v>
      </c>
      <c r="C27" s="13"/>
      <c r="D27" s="13"/>
      <c r="E27" s="13"/>
      <c r="F27" s="13"/>
      <c r="G27" s="4"/>
      <c r="H27" s="14"/>
      <c r="I27" s="13"/>
      <c r="J27" s="26"/>
    </row>
    <row r="28" spans="1:13" s="24" customFormat="1" ht="21" customHeight="1" x14ac:dyDescent="0.3">
      <c r="A28" s="13">
        <v>1</v>
      </c>
      <c r="B28" s="5" t="s">
        <v>45</v>
      </c>
      <c r="C28" s="13"/>
      <c r="D28" s="13"/>
      <c r="E28" s="13"/>
      <c r="F28" s="13">
        <v>0.05</v>
      </c>
      <c r="G28" s="4">
        <v>15000000</v>
      </c>
      <c r="H28" s="14">
        <f t="shared" si="0"/>
        <v>750000</v>
      </c>
      <c r="I28" s="13"/>
      <c r="J28" s="26"/>
      <c r="K28" s="3"/>
      <c r="L28" s="3"/>
      <c r="M28" s="71"/>
    </row>
    <row r="29" spans="1:13" s="24" customFormat="1" ht="21" customHeight="1" x14ac:dyDescent="0.3">
      <c r="A29" s="13">
        <v>2</v>
      </c>
      <c r="B29" s="5" t="s">
        <v>78</v>
      </c>
      <c r="C29" s="13"/>
      <c r="D29" s="13"/>
      <c r="E29" s="13"/>
      <c r="F29" s="13">
        <v>0.08</v>
      </c>
      <c r="G29" s="4">
        <v>15000000</v>
      </c>
      <c r="H29" s="14">
        <f t="shared" si="0"/>
        <v>1200000</v>
      </c>
      <c r="I29" s="13"/>
      <c r="J29" s="26"/>
      <c r="K29" s="3"/>
      <c r="L29" s="3"/>
      <c r="M29" s="71"/>
    </row>
    <row r="30" spans="1:13" s="24" customFormat="1" ht="21" customHeight="1" x14ac:dyDescent="0.3">
      <c r="A30" s="13">
        <v>3</v>
      </c>
      <c r="B30" s="5" t="s">
        <v>79</v>
      </c>
      <c r="C30" s="13"/>
      <c r="D30" s="13"/>
      <c r="E30" s="13"/>
      <c r="F30" s="13">
        <v>0.04</v>
      </c>
      <c r="G30" s="4">
        <v>15000000</v>
      </c>
      <c r="H30" s="14">
        <f t="shared" si="0"/>
        <v>600000</v>
      </c>
      <c r="I30" s="13"/>
      <c r="J30" s="26"/>
      <c r="K30" s="3"/>
      <c r="L30" s="3"/>
      <c r="M30" s="71"/>
    </row>
    <row r="31" spans="1:13" s="24" customFormat="1" ht="21" customHeight="1" x14ac:dyDescent="0.3">
      <c r="A31" s="13">
        <v>4</v>
      </c>
      <c r="B31" s="5" t="s">
        <v>82</v>
      </c>
      <c r="C31" s="13"/>
      <c r="D31" s="13"/>
      <c r="E31" s="13"/>
      <c r="F31" s="13">
        <v>0.08</v>
      </c>
      <c r="G31" s="4">
        <v>15000000</v>
      </c>
      <c r="H31" s="14">
        <f t="shared" si="0"/>
        <v>1200000</v>
      </c>
      <c r="I31" s="13"/>
      <c r="J31" s="26"/>
      <c r="K31" s="3"/>
      <c r="L31" s="3"/>
      <c r="M31" s="71"/>
    </row>
    <row r="32" spans="1:13" s="24" customFormat="1" ht="21" customHeight="1" x14ac:dyDescent="0.3">
      <c r="A32" s="13">
        <v>5</v>
      </c>
      <c r="B32" s="5" t="s">
        <v>105</v>
      </c>
      <c r="C32" s="13"/>
      <c r="D32" s="13"/>
      <c r="E32" s="13"/>
      <c r="F32" s="13">
        <v>7.0000000000000007E-2</v>
      </c>
      <c r="G32" s="4">
        <v>15000000</v>
      </c>
      <c r="H32" s="14">
        <f t="shared" si="0"/>
        <v>1050000</v>
      </c>
      <c r="I32" s="13"/>
      <c r="J32" s="26"/>
      <c r="K32" s="3"/>
      <c r="L32" s="3"/>
      <c r="M32" s="71"/>
    </row>
    <row r="33" spans="1:13" s="24" customFormat="1" ht="21" customHeight="1" x14ac:dyDescent="0.3">
      <c r="A33" s="13">
        <v>6</v>
      </c>
      <c r="B33" s="5" t="s">
        <v>106</v>
      </c>
      <c r="C33" s="13"/>
      <c r="D33" s="13"/>
      <c r="E33" s="13"/>
      <c r="F33" s="13">
        <v>0.1</v>
      </c>
      <c r="G33" s="4">
        <v>15000000</v>
      </c>
      <c r="H33" s="14">
        <f t="shared" si="0"/>
        <v>1500000</v>
      </c>
      <c r="I33" s="13"/>
      <c r="J33" s="26"/>
      <c r="K33" s="3"/>
      <c r="L33" s="3"/>
      <c r="M33" s="71"/>
    </row>
    <row r="34" spans="1:13" s="24" customFormat="1" ht="21" customHeight="1" x14ac:dyDescent="0.3">
      <c r="A34" s="13">
        <v>7</v>
      </c>
      <c r="B34" s="5" t="s">
        <v>107</v>
      </c>
      <c r="C34" s="13"/>
      <c r="D34" s="13"/>
      <c r="E34" s="13"/>
      <c r="F34" s="13">
        <v>0.04</v>
      </c>
      <c r="G34" s="4">
        <v>15000000</v>
      </c>
      <c r="H34" s="14">
        <f t="shared" si="0"/>
        <v>600000</v>
      </c>
      <c r="I34" s="13"/>
      <c r="J34" s="26"/>
      <c r="K34" s="3"/>
      <c r="L34" s="3"/>
      <c r="M34" s="71"/>
    </row>
    <row r="35" spans="1:13" s="24" customFormat="1" ht="21" customHeight="1" x14ac:dyDescent="0.3">
      <c r="A35" s="13">
        <v>8</v>
      </c>
      <c r="B35" s="5" t="s">
        <v>108</v>
      </c>
      <c r="C35" s="13"/>
      <c r="D35" s="13"/>
      <c r="E35" s="13"/>
      <c r="F35" s="13">
        <v>7.0000000000000007E-2</v>
      </c>
      <c r="G35" s="4">
        <v>15000000</v>
      </c>
      <c r="H35" s="14">
        <f t="shared" si="0"/>
        <v>1050000</v>
      </c>
      <c r="I35" s="13"/>
      <c r="J35" s="26"/>
      <c r="K35" s="3"/>
      <c r="L35" s="3"/>
      <c r="M35" s="71"/>
    </row>
    <row r="36" spans="1:13" s="24" customFormat="1" ht="21" customHeight="1" x14ac:dyDescent="0.3">
      <c r="A36" s="78">
        <v>9</v>
      </c>
      <c r="B36" s="77" t="s">
        <v>126</v>
      </c>
      <c r="C36" s="78"/>
      <c r="D36" s="78"/>
      <c r="E36" s="78"/>
      <c r="F36" s="78">
        <v>0.04</v>
      </c>
      <c r="G36" s="79">
        <v>15000000</v>
      </c>
      <c r="H36" s="80">
        <f>G36*F36</f>
        <v>600000</v>
      </c>
      <c r="I36" s="13"/>
      <c r="J36" s="26"/>
      <c r="K36" s="3"/>
      <c r="L36" s="3"/>
      <c r="M36" s="71"/>
    </row>
    <row r="37" spans="1:13" s="10" customFormat="1" ht="25.5" customHeight="1" x14ac:dyDescent="0.3">
      <c r="A37" s="8"/>
      <c r="B37" s="17" t="s">
        <v>118</v>
      </c>
      <c r="C37" s="8"/>
      <c r="D37" s="8"/>
      <c r="E37" s="8"/>
      <c r="F37" s="116">
        <f>SUM(F9:F36)</f>
        <v>2.8010000000000002</v>
      </c>
      <c r="G37" s="11"/>
      <c r="H37" s="28">
        <f>SUM(H9:H36)</f>
        <v>42015000</v>
      </c>
      <c r="I37" s="8"/>
      <c r="J37" s="29" t="e">
        <f>F37*#REF!</f>
        <v>#REF!</v>
      </c>
      <c r="L37" s="25"/>
    </row>
    <row r="38" spans="1:13" x14ac:dyDescent="0.25">
      <c r="J38" s="10"/>
      <c r="K38" s="10"/>
      <c r="L38" s="10"/>
    </row>
    <row r="41" spans="1:13" x14ac:dyDescent="0.25">
      <c r="H41" s="37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2025-11-16T10:38:45Z</cp:lastPrinted>
  <dcterms:created xsi:type="dcterms:W3CDTF">2025-08-24T08:17:09Z</dcterms:created>
  <dcterms:modified xsi:type="dcterms:W3CDTF">2025-11-17T07:40:20Z</dcterms:modified>
</cp:coreProperties>
</file>